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65524" yWindow="65524" windowWidth="9468" windowHeight="11640" activeTab="0"/>
  </bookViews>
  <sheets>
    <sheet name="Eingabe - Diagramm" sheetId="1" r:id="rId1"/>
    <sheet name="Dropdown-Daten" sheetId="2" state="hidden" r:id="rId2"/>
    <sheet name="Berechnungen" sheetId="3" state="hidden" r:id="rId3"/>
  </sheets>
  <definedNames>
    <definedName name="\0">'Eingabe - Diagramm'!#REF!</definedName>
    <definedName name="__123Graph_ADIAGRAMM1A" localSheetId="0" hidden="1">'Eingabe - Diagramm'!#REF!</definedName>
    <definedName name="__123Graph_ADIAGRAMM2A" localSheetId="0" hidden="1">'Berechnungen'!$C$6:$C$35</definedName>
    <definedName name="__123Graph_ADIAGRAMM3A" localSheetId="0" hidden="1">'Eingabe - Diagramm'!#REF!</definedName>
    <definedName name="__123Graph_BDIAGRAMM1A" localSheetId="0" hidden="1">'Eingabe - Diagramm'!#REF!</definedName>
    <definedName name="__123Graph_BDIAGRAMM2A" localSheetId="0" hidden="1">'Berechnungen'!$H$6:$H$35</definedName>
    <definedName name="__123Graph_BDIAGRAMM3A" localSheetId="0" hidden="1">'Eingabe - Diagramm'!#REF!</definedName>
    <definedName name="__123Graph_XDIAGRAMM1A" localSheetId="0" hidden="1">'Eingabe - Diagramm'!#REF!</definedName>
    <definedName name="__123Graph_XDIAGRAMM2A" localSheetId="0" hidden="1">'Berechnungen'!$E$6:$E$35</definedName>
    <definedName name="__123Graph_XDIAGRAMM3A" localSheetId="0" hidden="1">'Eingabe - Diagramm'!#REF!</definedName>
    <definedName name="_Fill" localSheetId="0" hidden="1">'Berechnungen'!$E$6:$E$35</definedName>
  </definedNames>
  <calcPr fullCalcOnLoad="1"/>
</workbook>
</file>

<file path=xl/comments3.xml><?xml version="1.0" encoding="utf-8"?>
<comments xmlns="http://schemas.openxmlformats.org/spreadsheetml/2006/main">
  <authors>
    <author>raphael.rey</author>
  </authors>
  <commentList>
    <comment ref="B7" authorId="0">
      <text>
        <r>
          <rPr>
            <b/>
            <sz val="8"/>
            <rFont val="Tahoma"/>
            <family val="0"/>
          </rPr>
          <t>raphael.rey:</t>
        </r>
        <r>
          <rPr>
            <sz val="8"/>
            <rFont val="Tahoma"/>
            <family val="0"/>
          </rPr>
          <t xml:space="preserve">
=WENN(((B$6/3.6)-('Dropdown-Daten'!O55*E7))*3.6&gt;0;((B$6/3.6)-('Dropdown-Daten'!$O$55*E7))*3.6;0)</t>
        </r>
      </text>
    </comment>
  </commentList>
</comments>
</file>

<file path=xl/sharedStrings.xml><?xml version="1.0" encoding="utf-8"?>
<sst xmlns="http://schemas.openxmlformats.org/spreadsheetml/2006/main" count="70" uniqueCount="48">
  <si>
    <t>Beurteilung von Abstandsmessungen durch die Polizei:</t>
  </si>
  <si>
    <t>Fahrzeug vorne:</t>
  </si>
  <si>
    <t>Fahrzeug hinten:</t>
  </si>
  <si>
    <t>Geschwindigkeit:</t>
  </si>
  <si>
    <t>Abstand:</t>
  </si>
  <si>
    <t>entspricht Abstandszeit:</t>
  </si>
  <si>
    <t>s</t>
  </si>
  <si>
    <t>Fahrzeug 1 (vorne)</t>
  </si>
  <si>
    <t>Fahrzeug 2 (hinten)</t>
  </si>
  <si>
    <t>v [km/h]</t>
  </si>
  <si>
    <t>Weg [m]</t>
  </si>
  <si>
    <t>Zeit [s]</t>
  </si>
  <si>
    <t>Abstand [m]</t>
  </si>
  <si>
    <t>Resultate:</t>
  </si>
  <si>
    <t>Eingaben:</t>
  </si>
  <si>
    <t>Betriebsgewicht:</t>
  </si>
  <si>
    <t>kg</t>
  </si>
  <si>
    <r>
      <t>Reaktionszeit:</t>
    </r>
    <r>
      <rPr>
        <b/>
        <sz val="11"/>
        <rFont val="Arial"/>
        <family val="2"/>
      </rPr>
      <t xml:space="preserve"> (für beide Fahrzeuglenker gleich)</t>
    </r>
  </si>
  <si>
    <t>Berechnungsdaten</t>
  </si>
  <si>
    <t>Fahrzeugart:</t>
  </si>
  <si>
    <t>Fahrbahnzustand:</t>
  </si>
  <si>
    <t xml:space="preserve">Personenwagen </t>
  </si>
  <si>
    <t>Lastwagen</t>
  </si>
  <si>
    <t>Lieferwagen</t>
  </si>
  <si>
    <t>Zellverknüpfungen</t>
  </si>
  <si>
    <t>Geschw.</t>
  </si>
  <si>
    <t>Abstd.</t>
  </si>
  <si>
    <t>Fahrz.</t>
  </si>
  <si>
    <t>Fahrbahn</t>
  </si>
  <si>
    <t>Fahrz. 1</t>
  </si>
  <si>
    <t>Fahrz. 2</t>
  </si>
  <si>
    <t xml:space="preserve">PW </t>
  </si>
  <si>
    <t>LKW</t>
  </si>
  <si>
    <t>trocken</t>
  </si>
  <si>
    <t>nass</t>
  </si>
  <si>
    <t>Trocken</t>
  </si>
  <si>
    <t>Nass</t>
  </si>
  <si>
    <t>Verzögerung</t>
  </si>
  <si>
    <t>PKW</t>
  </si>
  <si>
    <t>t</t>
  </si>
  <si>
    <t>n</t>
  </si>
  <si>
    <t>Erstes Fahrzeug</t>
  </si>
  <si>
    <t>Zweites Fahrzeug</t>
  </si>
  <si>
    <t>Aufprallgeschwindigkeit:</t>
  </si>
  <si>
    <t>Aufprallgeschwindigkeit Fahrz. 1</t>
  </si>
  <si>
    <t>Aufprallgeschwindigkeit Fahrz. 2</t>
  </si>
  <si>
    <t>Differenz</t>
  </si>
  <si>
    <t>© Erich Peter, Dipl.-Ing. FH / Raphael Rey / 2006 ©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</si>
</sst>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General_)"/>
    <numFmt numFmtId="171" formatCode="0.00_)"/>
    <numFmt numFmtId="172" formatCode="0.0"/>
    <numFmt numFmtId="173" formatCode="General\ \&amp;\ &quot;Km/H&quot;"/>
    <numFmt numFmtId="174" formatCode="General\ &quot;Km/H&quot;"/>
    <numFmt numFmtId="175" formatCode="General\ &quot;Meter&quot;"/>
    <numFmt numFmtId="176" formatCode="General\ &quot;km/h&quot;"/>
  </numFmts>
  <fonts count="72">
    <font>
      <sz val="12"/>
      <name val="Arial MT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u val="single"/>
      <sz val="12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sz val="8"/>
      <name val="Arial MT"/>
      <family val="0"/>
    </font>
    <font>
      <sz val="8"/>
      <name val="Helv"/>
      <family val="0"/>
    </font>
    <font>
      <b/>
      <sz val="8"/>
      <name val="Helv"/>
      <family val="0"/>
    </font>
    <font>
      <b/>
      <u val="single"/>
      <sz val="8"/>
      <name val="Helv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8"/>
      <name val="Arial MT"/>
      <family val="0"/>
    </font>
    <font>
      <b/>
      <sz val="16"/>
      <color indexed="11"/>
      <name val="Arial"/>
      <family val="2"/>
    </font>
    <font>
      <b/>
      <sz val="16"/>
      <color indexed="10"/>
      <name val="Arial"/>
      <family val="2"/>
    </font>
    <font>
      <b/>
      <sz val="12"/>
      <name val="Arial MT"/>
      <family val="0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2"/>
      <color indexed="8"/>
      <name val="MS Sans Serif"/>
      <family val="0"/>
    </font>
    <font>
      <b/>
      <sz val="18"/>
      <color indexed="8"/>
      <name val="MS Sans Serif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 MT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38" fontId="4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40" fontId="4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4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177">
    <xf numFmtId="170" fontId="0" fillId="0" borderId="0" xfId="0" applyAlignment="1">
      <alignment/>
    </xf>
    <xf numFmtId="170" fontId="0" fillId="0" borderId="0" xfId="0" applyFont="1" applyAlignment="1">
      <alignment/>
    </xf>
    <xf numFmtId="170" fontId="0" fillId="0" borderId="0" xfId="0" applyFont="1" applyBorder="1" applyAlignment="1">
      <alignment/>
    </xf>
    <xf numFmtId="170" fontId="0" fillId="0" borderId="0" xfId="0" applyNumberFormat="1" applyAlignment="1" applyProtection="1">
      <alignment/>
      <protection/>
    </xf>
    <xf numFmtId="170" fontId="0" fillId="0" borderId="0" xfId="0" applyAlignment="1">
      <alignment/>
    </xf>
    <xf numFmtId="170" fontId="10" fillId="0" borderId="0" xfId="0" applyNumberFormat="1" applyFont="1" applyAlignment="1" applyProtection="1">
      <alignment/>
      <protection/>
    </xf>
    <xf numFmtId="170" fontId="10" fillId="0" borderId="0" xfId="0" applyFont="1" applyAlignment="1">
      <alignment/>
    </xf>
    <xf numFmtId="170" fontId="12" fillId="0" borderId="10" xfId="0" applyNumberFormat="1" applyFont="1" applyBorder="1" applyAlignment="1" applyProtection="1">
      <alignment horizontal="left"/>
      <protection/>
    </xf>
    <xf numFmtId="170" fontId="12" fillId="0" borderId="11" xfId="0" applyNumberFormat="1" applyFont="1" applyBorder="1" applyAlignment="1" applyProtection="1">
      <alignment/>
      <protection/>
    </xf>
    <xf numFmtId="170" fontId="12" fillId="0" borderId="10" xfId="0" applyNumberFormat="1" applyFont="1" applyBorder="1" applyAlignment="1" applyProtection="1">
      <alignment/>
      <protection/>
    </xf>
    <xf numFmtId="170" fontId="12" fillId="0" borderId="12" xfId="0" applyNumberFormat="1" applyFont="1" applyBorder="1" applyAlignment="1" applyProtection="1">
      <alignment/>
      <protection/>
    </xf>
    <xf numFmtId="170" fontId="11" fillId="0" borderId="13" xfId="0" applyNumberFormat="1" applyFont="1" applyBorder="1" applyAlignment="1" applyProtection="1">
      <alignment/>
      <protection/>
    </xf>
    <xf numFmtId="170" fontId="11" fillId="0" borderId="14" xfId="0" applyNumberFormat="1" applyFont="1" applyBorder="1" applyAlignment="1" applyProtection="1">
      <alignment/>
      <protection/>
    </xf>
    <xf numFmtId="170" fontId="13" fillId="0" borderId="13" xfId="0" applyNumberFormat="1" applyFont="1" applyBorder="1" applyAlignment="1" applyProtection="1">
      <alignment horizontal="right"/>
      <protection/>
    </xf>
    <xf numFmtId="171" fontId="11" fillId="0" borderId="0" xfId="0" applyNumberFormat="1" applyFont="1" applyAlignment="1" applyProtection="1">
      <alignment/>
      <protection/>
    </xf>
    <xf numFmtId="170" fontId="11" fillId="0" borderId="0" xfId="0" applyNumberFormat="1" applyFont="1" applyBorder="1" applyAlignment="1" applyProtection="1">
      <alignment/>
      <protection/>
    </xf>
    <xf numFmtId="170" fontId="13" fillId="0" borderId="0" xfId="0" applyNumberFormat="1" applyFont="1" applyBorder="1" applyAlignment="1" applyProtection="1">
      <alignment horizontal="right"/>
      <protection/>
    </xf>
    <xf numFmtId="170" fontId="13" fillId="0" borderId="14" xfId="0" applyNumberFormat="1" applyFont="1" applyBorder="1" applyAlignment="1" applyProtection="1">
      <alignment horizontal="right"/>
      <protection/>
    </xf>
    <xf numFmtId="171" fontId="11" fillId="0" borderId="0" xfId="0" applyNumberFormat="1" applyFont="1" applyBorder="1" applyAlignment="1" applyProtection="1">
      <alignment/>
      <protection/>
    </xf>
    <xf numFmtId="170" fontId="12" fillId="0" borderId="14" xfId="0" applyNumberFormat="1" applyFont="1" applyBorder="1" applyAlignment="1" applyProtection="1">
      <alignment/>
      <protection/>
    </xf>
    <xf numFmtId="170" fontId="13" fillId="0" borderId="14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/>
      <protection/>
    </xf>
    <xf numFmtId="171" fontId="11" fillId="0" borderId="14" xfId="0" applyNumberFormat="1" applyFont="1" applyBorder="1" applyAlignment="1" applyProtection="1">
      <alignment horizontal="center"/>
      <protection/>
    </xf>
    <xf numFmtId="2" fontId="11" fillId="0" borderId="13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2" fontId="10" fillId="0" borderId="0" xfId="0" applyNumberFormat="1" applyFont="1" applyBorder="1" applyAlignment="1">
      <alignment horizontal="center"/>
    </xf>
    <xf numFmtId="2" fontId="12" fillId="0" borderId="14" xfId="0" applyNumberFormat="1" applyFont="1" applyBorder="1" applyAlignment="1" applyProtection="1">
      <alignment horizontal="center"/>
      <protection/>
    </xf>
    <xf numFmtId="2" fontId="11" fillId="0" borderId="0" xfId="0" applyNumberFormat="1" applyFont="1" applyAlignment="1" applyProtection="1">
      <alignment horizontal="center"/>
      <protection/>
    </xf>
    <xf numFmtId="2" fontId="11" fillId="0" borderId="14" xfId="0" applyNumberFormat="1" applyFont="1" applyBorder="1" applyAlignment="1" applyProtection="1">
      <alignment horizontal="center"/>
      <protection/>
    </xf>
    <xf numFmtId="2" fontId="11" fillId="0" borderId="15" xfId="0" applyNumberFormat="1" applyFont="1" applyBorder="1" applyAlignment="1" applyProtection="1">
      <alignment horizontal="center"/>
      <protection/>
    </xf>
    <xf numFmtId="2" fontId="11" fillId="0" borderId="16" xfId="0" applyNumberFormat="1" applyFont="1" applyBorder="1" applyAlignment="1" applyProtection="1">
      <alignment horizontal="center"/>
      <protection/>
    </xf>
    <xf numFmtId="2" fontId="10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 applyProtection="1">
      <alignment horizontal="center"/>
      <protection/>
    </xf>
    <xf numFmtId="2" fontId="1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8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2" fontId="14" fillId="0" borderId="13" xfId="0" applyNumberFormat="1" applyFont="1" applyBorder="1" applyAlignment="1" applyProtection="1">
      <alignment horizontal="left"/>
      <protection/>
    </xf>
    <xf numFmtId="2" fontId="0" fillId="0" borderId="0" xfId="0" applyNumberFormat="1" applyFont="1" applyBorder="1" applyAlignment="1">
      <alignment/>
    </xf>
    <xf numFmtId="2" fontId="14" fillId="0" borderId="16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2" fontId="12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 horizontal="left"/>
      <protection/>
    </xf>
    <xf numFmtId="2" fontId="18" fillId="0" borderId="13" xfId="0" applyNumberFormat="1" applyFont="1" applyBorder="1" applyAlignment="1" applyProtection="1">
      <alignment horizontal="left"/>
      <protection/>
    </xf>
    <xf numFmtId="2" fontId="14" fillId="0" borderId="18" xfId="0" applyNumberFormat="1" applyFont="1" applyBorder="1" applyAlignment="1" applyProtection="1">
      <alignment horizontal="left"/>
      <protection/>
    </xf>
    <xf numFmtId="2" fontId="19" fillId="0" borderId="0" xfId="0" applyNumberFormat="1" applyFont="1" applyAlignment="1" applyProtection="1">
      <alignment horizontal="left"/>
      <protection/>
    </xf>
    <xf numFmtId="170" fontId="20" fillId="0" borderId="0" xfId="0" applyFont="1" applyAlignment="1">
      <alignment/>
    </xf>
    <xf numFmtId="2" fontId="21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 horizontal="left"/>
      <protection/>
    </xf>
    <xf numFmtId="170" fontId="14" fillId="0" borderId="0" xfId="0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 applyProtection="1">
      <alignment/>
      <protection/>
    </xf>
    <xf numFmtId="2" fontId="20" fillId="0" borderId="14" xfId="0" applyNumberFormat="1" applyFont="1" applyBorder="1" applyAlignment="1" applyProtection="1">
      <alignment horizontal="left"/>
      <protection/>
    </xf>
    <xf numFmtId="2" fontId="15" fillId="0" borderId="19" xfId="0" applyNumberFormat="1" applyFont="1" applyFill="1" applyBorder="1" applyAlignment="1" applyProtection="1">
      <alignment/>
      <protection locked="0"/>
    </xf>
    <xf numFmtId="2" fontId="20" fillId="0" borderId="19" xfId="0" applyNumberFormat="1" applyFont="1" applyBorder="1" applyAlignment="1" applyProtection="1">
      <alignment horizontal="left"/>
      <protection/>
    </xf>
    <xf numFmtId="2" fontId="20" fillId="0" borderId="20" xfId="0" applyNumberFormat="1" applyFont="1" applyBorder="1" applyAlignment="1" applyProtection="1">
      <alignment horizontal="left"/>
      <protection/>
    </xf>
    <xf numFmtId="2" fontId="20" fillId="0" borderId="16" xfId="0" applyNumberFormat="1" applyFont="1" applyBorder="1" applyAlignment="1" applyProtection="1">
      <alignment/>
      <protection/>
    </xf>
    <xf numFmtId="2" fontId="20" fillId="0" borderId="17" xfId="0" applyNumberFormat="1" applyFont="1" applyBorder="1" applyAlignment="1" applyProtection="1">
      <alignment/>
      <protection/>
    </xf>
    <xf numFmtId="2" fontId="20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 locked="0"/>
    </xf>
    <xf numFmtId="2" fontId="22" fillId="33" borderId="21" xfId="0" applyNumberFormat="1" applyFont="1" applyFill="1" applyBorder="1" applyAlignment="1" applyProtection="1">
      <alignment/>
      <protection/>
    </xf>
    <xf numFmtId="2" fontId="23" fillId="33" borderId="22" xfId="0" applyNumberFormat="1" applyFont="1" applyFill="1" applyBorder="1" applyAlignment="1">
      <alignment/>
    </xf>
    <xf numFmtId="2" fontId="23" fillId="33" borderId="22" xfId="0" applyNumberFormat="1" applyFont="1" applyFill="1" applyBorder="1" applyAlignment="1" applyProtection="1">
      <alignment/>
      <protection/>
    </xf>
    <xf numFmtId="2" fontId="22" fillId="33" borderId="22" xfId="0" applyNumberFormat="1" applyFont="1" applyFill="1" applyBorder="1" applyAlignment="1" applyProtection="1">
      <alignment/>
      <protection/>
    </xf>
    <xf numFmtId="2" fontId="22" fillId="33" borderId="22" xfId="0" applyNumberFormat="1" applyFont="1" applyFill="1" applyBorder="1" applyAlignment="1" applyProtection="1">
      <alignment/>
      <protection locked="0"/>
    </xf>
    <xf numFmtId="2" fontId="22" fillId="33" borderId="23" xfId="0" applyNumberFormat="1" applyFont="1" applyFill="1" applyBorder="1" applyAlignment="1" applyProtection="1">
      <alignment horizontal="left"/>
      <protection/>
    </xf>
    <xf numFmtId="2" fontId="24" fillId="0" borderId="0" xfId="0" applyNumberFormat="1" applyFont="1" applyBorder="1" applyAlignment="1" applyProtection="1">
      <alignment/>
      <protection/>
    </xf>
    <xf numFmtId="2" fontId="9" fillId="34" borderId="0" xfId="0" applyNumberFormat="1" applyFont="1" applyFill="1" applyAlignment="1">
      <alignment/>
    </xf>
    <xf numFmtId="2" fontId="9" fillId="0" borderId="14" xfId="0" applyNumberFormat="1" applyFont="1" applyBorder="1" applyAlignment="1" applyProtection="1">
      <alignment horizontal="left"/>
      <protection/>
    </xf>
    <xf numFmtId="2" fontId="14" fillId="0" borderId="0" xfId="0" applyNumberFormat="1" applyFont="1" applyBorder="1" applyAlignment="1" applyProtection="1">
      <alignment/>
      <protection/>
    </xf>
    <xf numFmtId="2" fontId="20" fillId="0" borderId="0" xfId="0" applyNumberFormat="1" applyFont="1" applyBorder="1" applyAlignment="1" applyProtection="1">
      <alignment horizontal="left"/>
      <protection/>
    </xf>
    <xf numFmtId="2" fontId="14" fillId="0" borderId="0" xfId="0" applyNumberFormat="1" applyFont="1" applyBorder="1" applyAlignment="1">
      <alignment/>
    </xf>
    <xf numFmtId="2" fontId="15" fillId="0" borderId="0" xfId="0" applyNumberFormat="1" applyFont="1" applyFill="1" applyBorder="1" applyAlignment="1" applyProtection="1">
      <alignment/>
      <protection locked="0"/>
    </xf>
    <xf numFmtId="170" fontId="26" fillId="0" borderId="0" xfId="0" applyFont="1" applyAlignment="1">
      <alignment/>
    </xf>
    <xf numFmtId="170" fontId="0" fillId="0" borderId="24" xfId="0" applyFont="1" applyBorder="1" applyAlignment="1">
      <alignment/>
    </xf>
    <xf numFmtId="170" fontId="0" fillId="0" borderId="19" xfId="0" applyFont="1" applyBorder="1" applyAlignment="1">
      <alignment/>
    </xf>
    <xf numFmtId="2" fontId="14" fillId="0" borderId="0" xfId="0" applyNumberFormat="1" applyFont="1" applyBorder="1" applyAlignment="1" applyProtection="1">
      <alignment horizontal="left"/>
      <protection/>
    </xf>
    <xf numFmtId="2" fontId="15" fillId="0" borderId="25" xfId="0" applyNumberFormat="1" applyFont="1" applyFill="1" applyBorder="1" applyAlignment="1" applyProtection="1">
      <alignment/>
      <protection locked="0"/>
    </xf>
    <xf numFmtId="170" fontId="0" fillId="0" borderId="25" xfId="0" applyFont="1" applyBorder="1" applyAlignment="1">
      <alignment/>
    </xf>
    <xf numFmtId="2" fontId="16" fillId="0" borderId="0" xfId="0" applyNumberFormat="1" applyFont="1" applyBorder="1" applyAlignment="1" applyProtection="1">
      <alignment horizontal="left"/>
      <protection/>
    </xf>
    <xf numFmtId="2" fontId="20" fillId="0" borderId="24" xfId="0" applyNumberFormat="1" applyFont="1" applyBorder="1" applyAlignment="1" applyProtection="1">
      <alignment/>
      <protection/>
    </xf>
    <xf numFmtId="170" fontId="0" fillId="0" borderId="26" xfId="0" applyFont="1" applyBorder="1" applyAlignment="1">
      <alignment/>
    </xf>
    <xf numFmtId="170" fontId="20" fillId="0" borderId="25" xfId="0" applyFont="1" applyBorder="1" applyAlignment="1">
      <alignment/>
    </xf>
    <xf numFmtId="2" fontId="14" fillId="0" borderId="27" xfId="0" applyNumberFormat="1" applyFont="1" applyBorder="1" applyAlignment="1" applyProtection="1">
      <alignment horizontal="left"/>
      <protection/>
    </xf>
    <xf numFmtId="170" fontId="0" fillId="0" borderId="16" xfId="0" applyFont="1" applyBorder="1" applyAlignment="1">
      <alignment/>
    </xf>
    <xf numFmtId="2" fontId="14" fillId="0" borderId="24" xfId="0" applyNumberFormat="1" applyFont="1" applyBorder="1" applyAlignment="1" applyProtection="1">
      <alignment/>
      <protection/>
    </xf>
    <xf numFmtId="2" fontId="28" fillId="0" borderId="28" xfId="0" applyNumberFormat="1" applyFont="1" applyBorder="1" applyAlignment="1" applyProtection="1">
      <alignment horizontal="left"/>
      <protection/>
    </xf>
    <xf numFmtId="2" fontId="20" fillId="0" borderId="29" xfId="0" applyNumberFormat="1" applyFont="1" applyBorder="1" applyAlignment="1" applyProtection="1">
      <alignment/>
      <protection/>
    </xf>
    <xf numFmtId="2" fontId="16" fillId="0" borderId="25" xfId="0" applyNumberFormat="1" applyFont="1" applyBorder="1" applyAlignment="1" applyProtection="1">
      <alignment horizontal="left"/>
      <protection/>
    </xf>
    <xf numFmtId="2" fontId="16" fillId="0" borderId="19" xfId="0" applyNumberFormat="1" applyFont="1" applyBorder="1" applyAlignment="1" applyProtection="1">
      <alignment horizontal="left"/>
      <protection/>
    </xf>
    <xf numFmtId="170" fontId="0" fillId="0" borderId="30" xfId="0" applyFont="1" applyBorder="1" applyAlignment="1">
      <alignment/>
    </xf>
    <xf numFmtId="2" fontId="28" fillId="0" borderId="24" xfId="0" applyNumberFormat="1" applyFont="1" applyBorder="1" applyAlignment="1" applyProtection="1">
      <alignment horizontal="left"/>
      <protection/>
    </xf>
    <xf numFmtId="2" fontId="14" fillId="0" borderId="25" xfId="0" applyNumberFormat="1" applyFont="1" applyBorder="1" applyAlignment="1" applyProtection="1">
      <alignment horizontal="left"/>
      <protection/>
    </xf>
    <xf numFmtId="2" fontId="14" fillId="0" borderId="19" xfId="0" applyNumberFormat="1" applyFont="1" applyBorder="1" applyAlignment="1" applyProtection="1">
      <alignment horizontal="left"/>
      <protection/>
    </xf>
    <xf numFmtId="2" fontId="15" fillId="35" borderId="14" xfId="0" applyNumberFormat="1" applyFont="1" applyFill="1" applyBorder="1" applyAlignment="1" applyProtection="1">
      <alignment/>
      <protection locked="0"/>
    </xf>
    <xf numFmtId="170" fontId="0" fillId="0" borderId="0" xfId="0" applyFont="1" applyFill="1" applyBorder="1" applyAlignment="1">
      <alignment/>
    </xf>
    <xf numFmtId="2" fontId="20" fillId="0" borderId="25" xfId="0" applyNumberFormat="1" applyFont="1" applyFill="1" applyBorder="1" applyAlignment="1" applyProtection="1">
      <alignment horizontal="left"/>
      <protection/>
    </xf>
    <xf numFmtId="1" fontId="15" fillId="0" borderId="0" xfId="0" applyNumberFormat="1" applyFont="1" applyFill="1" applyBorder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 horizontal="left"/>
      <protection/>
    </xf>
    <xf numFmtId="172" fontId="15" fillId="0" borderId="0" xfId="0" applyNumberFormat="1" applyFont="1" applyFill="1" applyBorder="1" applyAlignment="1" applyProtection="1">
      <alignment/>
      <protection locked="0"/>
    </xf>
    <xf numFmtId="2" fontId="9" fillId="0" borderId="14" xfId="0" applyNumberFormat="1" applyFont="1" applyFill="1" applyBorder="1" applyAlignment="1" applyProtection="1">
      <alignment horizontal="left"/>
      <protection/>
    </xf>
    <xf numFmtId="2" fontId="14" fillId="0" borderId="0" xfId="0" applyNumberFormat="1" applyFont="1" applyFill="1" applyAlignment="1" applyProtection="1">
      <alignment/>
      <protection/>
    </xf>
    <xf numFmtId="2" fontId="14" fillId="0" borderId="0" xfId="0" applyNumberFormat="1" applyFont="1" applyFill="1" applyAlignment="1">
      <alignment/>
    </xf>
    <xf numFmtId="2" fontId="20" fillId="0" borderId="24" xfId="0" applyNumberFormat="1" applyFont="1" applyFill="1" applyBorder="1" applyAlignment="1" applyProtection="1">
      <alignment/>
      <protection/>
    </xf>
    <xf numFmtId="2" fontId="16" fillId="0" borderId="25" xfId="0" applyNumberFormat="1" applyFont="1" applyFill="1" applyBorder="1" applyAlignment="1">
      <alignment/>
    </xf>
    <xf numFmtId="2" fontId="14" fillId="0" borderId="25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2" fontId="14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Fill="1" applyBorder="1" applyAlignment="1">
      <alignment/>
    </xf>
    <xf numFmtId="2" fontId="16" fillId="0" borderId="19" xfId="0" applyNumberFormat="1" applyFont="1" applyFill="1" applyBorder="1" applyAlignment="1">
      <alignment/>
    </xf>
    <xf numFmtId="2" fontId="14" fillId="0" borderId="19" xfId="0" applyNumberFormat="1" applyFont="1" applyFill="1" applyBorder="1" applyAlignment="1">
      <alignment/>
    </xf>
    <xf numFmtId="2" fontId="20" fillId="0" borderId="16" xfId="0" applyNumberFormat="1" applyFont="1" applyFill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 horizontal="left"/>
      <protection/>
    </xf>
    <xf numFmtId="170" fontId="0" fillId="0" borderId="0" xfId="0" applyBorder="1" applyAlignment="1">
      <alignment/>
    </xf>
    <xf numFmtId="170" fontId="13" fillId="0" borderId="0" xfId="0" applyNumberFormat="1" applyFont="1" applyBorder="1" applyAlignment="1" applyProtection="1">
      <alignment horizontal="center"/>
      <protection/>
    </xf>
    <xf numFmtId="2" fontId="12" fillId="0" borderId="0" xfId="0" applyNumberFormat="1" applyFont="1" applyBorder="1" applyAlignment="1" applyProtection="1">
      <alignment horizontal="center"/>
      <protection/>
    </xf>
    <xf numFmtId="171" fontId="11" fillId="0" borderId="0" xfId="0" applyNumberFormat="1" applyFont="1" applyBorder="1" applyAlignment="1" applyProtection="1">
      <alignment horizontal="center"/>
      <protection/>
    </xf>
    <xf numFmtId="170" fontId="29" fillId="0" borderId="0" xfId="0" applyFont="1" applyBorder="1" applyAlignment="1">
      <alignment/>
    </xf>
    <xf numFmtId="170" fontId="20" fillId="0" borderId="14" xfId="0" applyFont="1" applyBorder="1" applyAlignment="1">
      <alignment/>
    </xf>
    <xf numFmtId="2" fontId="14" fillId="0" borderId="16" xfId="0" applyNumberFormat="1" applyFont="1" applyBorder="1" applyAlignment="1" applyProtection="1">
      <alignment horizontal="left"/>
      <protection/>
    </xf>
    <xf numFmtId="2" fontId="20" fillId="0" borderId="0" xfId="0" applyNumberFormat="1" applyFont="1" applyBorder="1" applyAlignment="1">
      <alignment/>
    </xf>
    <xf numFmtId="2" fontId="25" fillId="0" borderId="0" xfId="0" applyNumberFormat="1" applyFont="1" applyBorder="1" applyAlignment="1" applyProtection="1">
      <alignment horizontal="right"/>
      <protection/>
    </xf>
    <xf numFmtId="170" fontId="0" fillId="0" borderId="0" xfId="0" applyBorder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170" fontId="0" fillId="0" borderId="0" xfId="0" applyAlignment="1">
      <alignment horizontal="center"/>
    </xf>
    <xf numFmtId="170" fontId="0" fillId="0" borderId="0" xfId="0" applyFont="1" applyBorder="1" applyAlignment="1">
      <alignment horizontal="center"/>
    </xf>
    <xf numFmtId="170" fontId="12" fillId="0" borderId="0" xfId="0" applyNumberFormat="1" applyFont="1" applyBorder="1" applyAlignment="1" applyProtection="1">
      <alignment horizontal="center"/>
      <protection/>
    </xf>
    <xf numFmtId="170" fontId="11" fillId="0" borderId="0" xfId="0" applyNumberFormat="1" applyFont="1" applyBorder="1" applyAlignment="1" applyProtection="1">
      <alignment horizontal="center"/>
      <protection/>
    </xf>
    <xf numFmtId="2" fontId="12" fillId="0" borderId="17" xfId="0" applyNumberFormat="1" applyFont="1" applyBorder="1" applyAlignment="1" applyProtection="1">
      <alignment horizontal="center"/>
      <protection/>
    </xf>
    <xf numFmtId="174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1" fontId="6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 applyProtection="1">
      <alignment horizontal="center"/>
      <protection/>
    </xf>
    <xf numFmtId="170" fontId="0" fillId="0" borderId="0" xfId="0" applyFill="1" applyBorder="1" applyAlignment="1">
      <alignment/>
    </xf>
    <xf numFmtId="172" fontId="14" fillId="0" borderId="31" xfId="0" applyNumberFormat="1" applyFont="1" applyBorder="1" applyAlignment="1">
      <alignment/>
    </xf>
    <xf numFmtId="170" fontId="0" fillId="0" borderId="11" xfId="0" applyBorder="1" applyAlignment="1">
      <alignment/>
    </xf>
    <xf numFmtId="2" fontId="14" fillId="0" borderId="0" xfId="0" applyNumberFormat="1" applyFont="1" applyBorder="1" applyAlignment="1">
      <alignment horizontal="center"/>
    </xf>
    <xf numFmtId="170" fontId="0" fillId="0" borderId="16" xfId="0" applyBorder="1" applyAlignment="1">
      <alignment/>
    </xf>
    <xf numFmtId="170" fontId="0" fillId="0" borderId="17" xfId="0" applyBorder="1" applyAlignment="1">
      <alignment/>
    </xf>
    <xf numFmtId="170" fontId="0" fillId="0" borderId="14" xfId="0" applyBorder="1" applyAlignment="1">
      <alignment/>
    </xf>
    <xf numFmtId="170" fontId="0" fillId="0" borderId="15" xfId="0" applyBorder="1" applyAlignment="1">
      <alignment/>
    </xf>
    <xf numFmtId="170" fontId="0" fillId="0" borderId="12" xfId="0" applyBorder="1" applyAlignment="1">
      <alignment/>
    </xf>
    <xf numFmtId="2" fontId="20" fillId="0" borderId="16" xfId="0" applyNumberFormat="1" applyFont="1" applyBorder="1" applyAlignment="1">
      <alignment/>
    </xf>
    <xf numFmtId="170" fontId="0" fillId="0" borderId="21" xfId="0" applyFont="1" applyBorder="1" applyAlignment="1">
      <alignment/>
    </xf>
    <xf numFmtId="170" fontId="0" fillId="0" borderId="22" xfId="0" applyFont="1" applyBorder="1" applyAlignment="1">
      <alignment/>
    </xf>
    <xf numFmtId="170" fontId="0" fillId="0" borderId="22" xfId="0" applyFont="1" applyBorder="1" applyAlignment="1">
      <alignment horizontal="center"/>
    </xf>
    <xf numFmtId="170" fontId="0" fillId="0" borderId="10" xfId="0" applyBorder="1" applyAlignment="1">
      <alignment/>
    </xf>
    <xf numFmtId="170" fontId="0" fillId="0" borderId="13" xfId="0" applyBorder="1" applyAlignment="1">
      <alignment/>
    </xf>
    <xf numFmtId="2" fontId="14" fillId="0" borderId="13" xfId="0" applyNumberFormat="1" applyFont="1" applyBorder="1" applyAlignment="1">
      <alignment/>
    </xf>
    <xf numFmtId="2" fontId="14" fillId="0" borderId="14" xfId="0" applyNumberFormat="1" applyFont="1" applyBorder="1" applyAlignment="1">
      <alignment/>
    </xf>
    <xf numFmtId="2" fontId="11" fillId="0" borderId="10" xfId="0" applyNumberFormat="1" applyFont="1" applyBorder="1" applyAlignment="1" applyProtection="1">
      <alignment horizontal="center"/>
      <protection/>
    </xf>
    <xf numFmtId="170" fontId="0" fillId="0" borderId="10" xfId="0" applyFont="1" applyBorder="1" applyAlignment="1">
      <alignment/>
    </xf>
    <xf numFmtId="170" fontId="0" fillId="0" borderId="11" xfId="0" applyFont="1" applyBorder="1" applyAlignment="1">
      <alignment/>
    </xf>
    <xf numFmtId="2" fontId="28" fillId="0" borderId="11" xfId="0" applyNumberFormat="1" applyFont="1" applyBorder="1" applyAlignment="1" applyProtection="1">
      <alignment horizontal="left"/>
      <protection/>
    </xf>
    <xf numFmtId="170" fontId="0" fillId="0" borderId="11" xfId="0" applyFont="1" applyBorder="1" applyAlignment="1">
      <alignment horizontal="center"/>
    </xf>
    <xf numFmtId="2" fontId="27" fillId="0" borderId="12" xfId="0" applyNumberFormat="1" applyFont="1" applyBorder="1" applyAlignment="1" applyProtection="1">
      <alignment horizontal="center"/>
      <protection/>
    </xf>
    <xf numFmtId="2" fontId="32" fillId="0" borderId="24" xfId="0" applyNumberFormat="1" applyFont="1" applyBorder="1" applyAlignment="1" applyProtection="1">
      <alignment horizontal="left"/>
      <protection/>
    </xf>
    <xf numFmtId="2" fontId="32" fillId="0" borderId="11" xfId="0" applyNumberFormat="1" applyFont="1" applyBorder="1" applyAlignment="1" applyProtection="1">
      <alignment horizontal="left"/>
      <protection/>
    </xf>
    <xf numFmtId="176" fontId="0" fillId="0" borderId="0" xfId="0" applyNumberFormat="1" applyAlignment="1">
      <alignment horizontal="center"/>
    </xf>
    <xf numFmtId="176" fontId="14" fillId="0" borderId="0" xfId="0" applyNumberFormat="1" applyFont="1" applyBorder="1" applyAlignment="1">
      <alignment/>
    </xf>
    <xf numFmtId="176" fontId="14" fillId="0" borderId="14" xfId="0" applyNumberFormat="1" applyFont="1" applyBorder="1" applyAlignment="1">
      <alignment/>
    </xf>
    <xf numFmtId="176" fontId="29" fillId="36" borderId="22" xfId="0" applyNumberFormat="1" applyFont="1" applyFill="1" applyBorder="1" applyAlignment="1">
      <alignment horizontal="center"/>
    </xf>
    <xf numFmtId="176" fontId="29" fillId="36" borderId="23" xfId="0" applyNumberFormat="1" applyFont="1" applyFill="1" applyBorder="1" applyAlignment="1">
      <alignment horizontal="center"/>
    </xf>
    <xf numFmtId="2" fontId="9" fillId="0" borderId="11" xfId="0" applyNumberFormat="1" applyFont="1" applyBorder="1" applyAlignment="1" applyProtection="1">
      <alignment horizontal="right"/>
      <protection/>
    </xf>
    <xf numFmtId="2" fontId="18" fillId="0" borderId="27" xfId="0" applyNumberFormat="1" applyFont="1" applyBorder="1" applyAlignment="1" applyProtection="1">
      <alignment horizontal="left"/>
      <protection/>
    </xf>
    <xf numFmtId="170" fontId="0" fillId="0" borderId="15" xfId="0" applyBorder="1" applyAlignment="1">
      <alignment/>
    </xf>
    <xf numFmtId="170" fontId="29" fillId="0" borderId="1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b/>
        <i val="0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57"/>
        </patternFill>
      </fill>
    </dxf>
    <dxf>
      <font>
        <b/>
        <i val="0"/>
        <color auto="1"/>
      </font>
      <fill>
        <patternFill>
          <bgColor rgb="FF339966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'Eingabe - Diagramm'!#REF!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'Eingabe - Diagramm'!#REF!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FFFFFF"/>
                </a:solidFill>
              </a:ln>
            </c:spPr>
          </c:marker>
          <c:xVal>
            <c:strRef>
              <c:f>'Eingabe - Diagramm'!#REF!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'Eingabe - Diagramm'!#REF!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745257"/>
        <c:axId val="7489586"/>
      </c:scatterChart>
      <c:valAx>
        <c:axId val="15745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7489586"/>
        <c:crosses val="autoZero"/>
        <c:crossBetween val="midCat"/>
        <c:dispUnits/>
      </c:valAx>
      <c:valAx>
        <c:axId val="74895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Weg-Zeit-Verlauf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945"/>
          <c:w val="0.83825"/>
          <c:h val="0.69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Berechnungen!$G$95:$G$175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Berechnungen!$C$6:$C$86</c:f>
              <c:numCache>
                <c:ptCount val="81"/>
                <c:pt idx="0">
                  <c:v>0</c:v>
                </c:pt>
                <c:pt idx="1">
                  <c:v>2.1847222222222222</c:v>
                </c:pt>
                <c:pt idx="2">
                  <c:v>4.294444444444444</c:v>
                </c:pt>
                <c:pt idx="3">
                  <c:v>6.329166666666667</c:v>
                </c:pt>
                <c:pt idx="4">
                  <c:v>8.28888888888889</c:v>
                </c:pt>
                <c:pt idx="5">
                  <c:v>10.17361111111111</c:v>
                </c:pt>
                <c:pt idx="6">
                  <c:v>11.983333333333333</c:v>
                </c:pt>
                <c:pt idx="7">
                  <c:v>13.718055555555555</c:v>
                </c:pt>
                <c:pt idx="8">
                  <c:v>15.377777777777778</c:v>
                </c:pt>
                <c:pt idx="9">
                  <c:v>16.9625</c:v>
                </c:pt>
                <c:pt idx="10">
                  <c:v>18.47222222222222</c:v>
                </c:pt>
                <c:pt idx="11">
                  <c:v>19.906944444444445</c:v>
                </c:pt>
                <c:pt idx="12">
                  <c:v>21.266666666666666</c:v>
                </c:pt>
                <c:pt idx="13">
                  <c:v>22.551388888888887</c:v>
                </c:pt>
                <c:pt idx="14">
                  <c:v>23.76111111111111</c:v>
                </c:pt>
                <c:pt idx="15">
                  <c:v>24.895833333333332</c:v>
                </c:pt>
                <c:pt idx="16">
                  <c:v>25.955555555555556</c:v>
                </c:pt>
                <c:pt idx="17">
                  <c:v>26.940277777777776</c:v>
                </c:pt>
                <c:pt idx="18">
                  <c:v>27.849999999999998</c:v>
                </c:pt>
                <c:pt idx="19">
                  <c:v>28.68472222222222</c:v>
                </c:pt>
                <c:pt idx="20">
                  <c:v>29.444444444444443</c:v>
                </c:pt>
                <c:pt idx="21">
                  <c:v>30.129166666666666</c:v>
                </c:pt>
                <c:pt idx="22">
                  <c:v>30.73888888888889</c:v>
                </c:pt>
                <c:pt idx="23">
                  <c:v>31.27361111111111</c:v>
                </c:pt>
                <c:pt idx="24">
                  <c:v>31.73333333333333</c:v>
                </c:pt>
                <c:pt idx="25">
                  <c:v>32.11805555555556</c:v>
                </c:pt>
                <c:pt idx="26">
                  <c:v>32.42777777777778</c:v>
                </c:pt>
                <c:pt idx="27">
                  <c:v>32.6625</c:v>
                </c:pt>
                <c:pt idx="28">
                  <c:v>32.822222222222216</c:v>
                </c:pt>
                <c:pt idx="29">
                  <c:v>32.90694444444444</c:v>
                </c:pt>
                <c:pt idx="30">
                  <c:v>32.90694444444444</c:v>
                </c:pt>
                <c:pt idx="31">
                  <c:v>32.90694444444444</c:v>
                </c:pt>
                <c:pt idx="32">
                  <c:v>32.90694444444444</c:v>
                </c:pt>
                <c:pt idx="33">
                  <c:v>32.90694444444444</c:v>
                </c:pt>
                <c:pt idx="34">
                  <c:v>32.90694444444444</c:v>
                </c:pt>
                <c:pt idx="35">
                  <c:v>32.90694444444444</c:v>
                </c:pt>
                <c:pt idx="36">
                  <c:v>32.90694444444444</c:v>
                </c:pt>
                <c:pt idx="37">
                  <c:v>32.90694444444444</c:v>
                </c:pt>
                <c:pt idx="38">
                  <c:v>32.90694444444444</c:v>
                </c:pt>
                <c:pt idx="39">
                  <c:v>32.90694444444444</c:v>
                </c:pt>
                <c:pt idx="40">
                  <c:v>32.90694444444444</c:v>
                </c:pt>
                <c:pt idx="41">
                  <c:v>32.90694444444444</c:v>
                </c:pt>
                <c:pt idx="42">
                  <c:v>32.90694444444444</c:v>
                </c:pt>
                <c:pt idx="43">
                  <c:v>32.90694444444444</c:v>
                </c:pt>
                <c:pt idx="44">
                  <c:v>32.90694444444444</c:v>
                </c:pt>
                <c:pt idx="45">
                  <c:v>32.90694444444444</c:v>
                </c:pt>
                <c:pt idx="46">
                  <c:v>32.90694444444444</c:v>
                </c:pt>
                <c:pt idx="47">
                  <c:v>32.90694444444444</c:v>
                </c:pt>
                <c:pt idx="48">
                  <c:v>32.90694444444444</c:v>
                </c:pt>
                <c:pt idx="49">
                  <c:v>32.90694444444444</c:v>
                </c:pt>
                <c:pt idx="50">
                  <c:v>32.90694444444444</c:v>
                </c:pt>
                <c:pt idx="51">
                  <c:v>32.90694444444444</c:v>
                </c:pt>
                <c:pt idx="52">
                  <c:v>32.90694444444444</c:v>
                </c:pt>
                <c:pt idx="53">
                  <c:v>32.90694444444444</c:v>
                </c:pt>
                <c:pt idx="54">
                  <c:v>32.90694444444444</c:v>
                </c:pt>
                <c:pt idx="55">
                  <c:v>32.90694444444444</c:v>
                </c:pt>
                <c:pt idx="56">
                  <c:v>32.90694444444444</c:v>
                </c:pt>
                <c:pt idx="57">
                  <c:v>32.90694444444444</c:v>
                </c:pt>
                <c:pt idx="58">
                  <c:v>32.90694444444444</c:v>
                </c:pt>
                <c:pt idx="59">
                  <c:v>32.90694444444444</c:v>
                </c:pt>
                <c:pt idx="60">
                  <c:v>32.90694444444444</c:v>
                </c:pt>
                <c:pt idx="61">
                  <c:v>32.90694444444444</c:v>
                </c:pt>
                <c:pt idx="62">
                  <c:v>32.90694444444444</c:v>
                </c:pt>
                <c:pt idx="63">
                  <c:v>32.90694444444444</c:v>
                </c:pt>
                <c:pt idx="64">
                  <c:v>32.90694444444444</c:v>
                </c:pt>
                <c:pt idx="65">
                  <c:v>32.90694444444444</c:v>
                </c:pt>
                <c:pt idx="66">
                  <c:v>32.90694444444444</c:v>
                </c:pt>
                <c:pt idx="67">
                  <c:v>32.90694444444444</c:v>
                </c:pt>
                <c:pt idx="68">
                  <c:v>32.90694444444444</c:v>
                </c:pt>
                <c:pt idx="69">
                  <c:v>32.90694444444444</c:v>
                </c:pt>
                <c:pt idx="70">
                  <c:v>32.90694444444444</c:v>
                </c:pt>
                <c:pt idx="71">
                  <c:v>32.90694444444444</c:v>
                </c:pt>
                <c:pt idx="72">
                  <c:v>32.90694444444444</c:v>
                </c:pt>
                <c:pt idx="73">
                  <c:v>32.90694444444444</c:v>
                </c:pt>
                <c:pt idx="74">
                  <c:v>32.90694444444444</c:v>
                </c:pt>
                <c:pt idx="75">
                  <c:v>32.90694444444444</c:v>
                </c:pt>
                <c:pt idx="76">
                  <c:v>32.90694444444444</c:v>
                </c:pt>
                <c:pt idx="77">
                  <c:v>32.90694444444444</c:v>
                </c:pt>
                <c:pt idx="78">
                  <c:v>32.90694444444444</c:v>
                </c:pt>
                <c:pt idx="79">
                  <c:v>32.90694444444444</c:v>
                </c:pt>
                <c:pt idx="80">
                  <c:v>32.90694444444444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Berechnungen!$G$95:$G$175</c:f>
              <c:numCache>
                <c:ptCount val="8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</c:numCache>
            </c:numRef>
          </c:xVal>
          <c:yVal>
            <c:numRef>
              <c:f>Berechnungen!$K$6:$K$86</c:f>
              <c:numCache>
                <c:ptCount val="81"/>
                <c:pt idx="0">
                  <c:v>-44</c:v>
                </c:pt>
                <c:pt idx="1">
                  <c:v>-41.77777777777778</c:v>
                </c:pt>
                <c:pt idx="2">
                  <c:v>-39.55555555555556</c:v>
                </c:pt>
                <c:pt idx="3">
                  <c:v>-37.333333333333336</c:v>
                </c:pt>
                <c:pt idx="4">
                  <c:v>-35.111111111111114</c:v>
                </c:pt>
                <c:pt idx="5">
                  <c:v>-32.888888888888886</c:v>
                </c:pt>
                <c:pt idx="6">
                  <c:v>-30.666666666666668</c:v>
                </c:pt>
                <c:pt idx="7">
                  <c:v>-28.444444444444446</c:v>
                </c:pt>
                <c:pt idx="8">
                  <c:v>-26.22222222222222</c:v>
                </c:pt>
                <c:pt idx="9">
                  <c:v>-24</c:v>
                </c:pt>
                <c:pt idx="10">
                  <c:v>-21.77777777777778</c:v>
                </c:pt>
                <c:pt idx="11">
                  <c:v>-19.593055555555555</c:v>
                </c:pt>
                <c:pt idx="12">
                  <c:v>-17.483333333333334</c:v>
                </c:pt>
                <c:pt idx="13">
                  <c:v>-15.44861111111111</c:v>
                </c:pt>
                <c:pt idx="14">
                  <c:v>-13.48888888888889</c:v>
                </c:pt>
                <c:pt idx="15">
                  <c:v>-11.604166666666668</c:v>
                </c:pt>
                <c:pt idx="16">
                  <c:v>-9.794444444444444</c:v>
                </c:pt>
                <c:pt idx="17">
                  <c:v>-8.059722222222224</c:v>
                </c:pt>
                <c:pt idx="18">
                  <c:v>-6.4</c:v>
                </c:pt>
                <c:pt idx="19">
                  <c:v>-4.81527777777778</c:v>
                </c:pt>
                <c:pt idx="20">
                  <c:v>-3.3055555555555562</c:v>
                </c:pt>
                <c:pt idx="21">
                  <c:v>-1.870833333333333</c:v>
                </c:pt>
                <c:pt idx="22">
                  <c:v>-0.5111111111111095</c:v>
                </c:pt>
                <c:pt idx="23">
                  <c:v>0.7736111111111081</c:v>
                </c:pt>
                <c:pt idx="24">
                  <c:v>1.9833333333333314</c:v>
                </c:pt>
                <c:pt idx="25">
                  <c:v>3.1180555555555545</c:v>
                </c:pt>
                <c:pt idx="26">
                  <c:v>4.177777777777777</c:v>
                </c:pt>
                <c:pt idx="27">
                  <c:v>5.1625000000000005</c:v>
                </c:pt>
                <c:pt idx="28">
                  <c:v>6.072222222222219</c:v>
                </c:pt>
                <c:pt idx="29">
                  <c:v>6.906944444444442</c:v>
                </c:pt>
                <c:pt idx="30">
                  <c:v>7.666666666666665</c:v>
                </c:pt>
                <c:pt idx="31">
                  <c:v>8.351388888888888</c:v>
                </c:pt>
                <c:pt idx="32">
                  <c:v>8.96111111111111</c:v>
                </c:pt>
                <c:pt idx="33">
                  <c:v>9.49583333333333</c:v>
                </c:pt>
                <c:pt idx="34">
                  <c:v>9.955555555555552</c:v>
                </c:pt>
                <c:pt idx="35">
                  <c:v>10.340277777777775</c:v>
                </c:pt>
                <c:pt idx="36">
                  <c:v>10.649999999999997</c:v>
                </c:pt>
                <c:pt idx="37">
                  <c:v>10.88472222222222</c:v>
                </c:pt>
                <c:pt idx="38">
                  <c:v>11.04444444444444</c:v>
                </c:pt>
                <c:pt idx="39">
                  <c:v>11.129166666666663</c:v>
                </c:pt>
                <c:pt idx="40">
                  <c:v>11.129166666666663</c:v>
                </c:pt>
                <c:pt idx="41">
                  <c:v>11.129166666666663</c:v>
                </c:pt>
                <c:pt idx="42">
                  <c:v>11.129166666666663</c:v>
                </c:pt>
                <c:pt idx="43">
                  <c:v>11.129166666666663</c:v>
                </c:pt>
                <c:pt idx="44">
                  <c:v>11.129166666666663</c:v>
                </c:pt>
                <c:pt idx="45">
                  <c:v>11.129166666666663</c:v>
                </c:pt>
                <c:pt idx="46">
                  <c:v>11.129166666666663</c:v>
                </c:pt>
                <c:pt idx="47">
                  <c:v>11.129166666666663</c:v>
                </c:pt>
                <c:pt idx="48">
                  <c:v>11.129166666666663</c:v>
                </c:pt>
                <c:pt idx="49">
                  <c:v>11.129166666666663</c:v>
                </c:pt>
                <c:pt idx="50">
                  <c:v>11.129166666666663</c:v>
                </c:pt>
                <c:pt idx="51">
                  <c:v>11.129166666666663</c:v>
                </c:pt>
                <c:pt idx="52">
                  <c:v>11.129166666666663</c:v>
                </c:pt>
                <c:pt idx="53">
                  <c:v>11.129166666666663</c:v>
                </c:pt>
                <c:pt idx="54">
                  <c:v>11.129166666666663</c:v>
                </c:pt>
                <c:pt idx="55">
                  <c:v>11.129166666666663</c:v>
                </c:pt>
                <c:pt idx="56">
                  <c:v>11.129166666666663</c:v>
                </c:pt>
                <c:pt idx="57">
                  <c:v>11.129166666666663</c:v>
                </c:pt>
                <c:pt idx="58">
                  <c:v>11.129166666666663</c:v>
                </c:pt>
                <c:pt idx="59">
                  <c:v>11.129166666666663</c:v>
                </c:pt>
                <c:pt idx="60">
                  <c:v>11.129166666666663</c:v>
                </c:pt>
                <c:pt idx="61">
                  <c:v>11.129166666666663</c:v>
                </c:pt>
                <c:pt idx="62">
                  <c:v>11.129166666666663</c:v>
                </c:pt>
                <c:pt idx="63">
                  <c:v>11.129166666666663</c:v>
                </c:pt>
                <c:pt idx="64">
                  <c:v>11.129166666666663</c:v>
                </c:pt>
                <c:pt idx="65">
                  <c:v>11.129166666666663</c:v>
                </c:pt>
                <c:pt idx="66">
                  <c:v>11.129166666666663</c:v>
                </c:pt>
                <c:pt idx="67">
                  <c:v>11.129166666666663</c:v>
                </c:pt>
                <c:pt idx="68">
                  <c:v>11.129166666666663</c:v>
                </c:pt>
                <c:pt idx="69">
                  <c:v>11.129166666666663</c:v>
                </c:pt>
                <c:pt idx="70">
                  <c:v>11.129166666666663</c:v>
                </c:pt>
                <c:pt idx="71">
                  <c:v>11.129166666666663</c:v>
                </c:pt>
                <c:pt idx="72">
                  <c:v>11.129166666666663</c:v>
                </c:pt>
                <c:pt idx="73">
                  <c:v>11.129166666666663</c:v>
                </c:pt>
                <c:pt idx="74">
                  <c:v>11.129166666666663</c:v>
                </c:pt>
                <c:pt idx="75">
                  <c:v>11.129166666666663</c:v>
                </c:pt>
                <c:pt idx="76">
                  <c:v>11.129166666666663</c:v>
                </c:pt>
                <c:pt idx="77">
                  <c:v>11.129166666666663</c:v>
                </c:pt>
                <c:pt idx="78">
                  <c:v>11.129166666666663</c:v>
                </c:pt>
                <c:pt idx="79">
                  <c:v>11.129166666666663</c:v>
                </c:pt>
                <c:pt idx="80">
                  <c:v>11.129166666666663</c:v>
                </c:pt>
              </c:numCache>
            </c:numRef>
          </c:yVal>
          <c:smooth val="0"/>
        </c:ser>
        <c:ser>
          <c:idx val="2"/>
          <c:order val="2"/>
          <c:tx>
            <c:v>Schnittpunkt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FF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Berechnungen!$U$88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Berechnungen!$V$88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297411"/>
        <c:axId val="2676700"/>
      </c:scatterChart>
      <c:valAx>
        <c:axId val="297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Zeit [s]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2676700"/>
        <c:crosses val="autoZero"/>
        <c:crossBetween val="midCat"/>
        <c:dispUnits/>
      </c:valAx>
      <c:valAx>
        <c:axId val="267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Weg [m]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7411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0.1335</cdr:x>
      <cdr:y>0.919</cdr:y>
    </cdr:from>
    <cdr:to>
      <cdr:x>0.4125</cdr:x>
      <cdr:y>0.964</cdr:y>
    </cdr:to>
    <cdr:sp>
      <cdr:nvSpPr>
        <cdr:cNvPr id="1" name="Text Box 1"/>
        <cdr:cNvSpPr txBox="1">
          <a:spLocks noChangeArrowheads="1"/>
        </cdr:cNvSpPr>
      </cdr:nvSpPr>
      <cdr:spPr>
        <a:xfrm>
          <a:off x="1209675" y="3819525"/>
          <a:ext cx="2533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Bei Schnittpunkt = Kollision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48</xdr:row>
      <xdr:rowOff>0</xdr:rowOff>
    </xdr:from>
    <xdr:to>
      <xdr:col>14</xdr:col>
      <xdr:colOff>0</xdr:colOff>
      <xdr:row>48</xdr:row>
      <xdr:rowOff>0</xdr:rowOff>
    </xdr:to>
    <xdr:graphicFrame>
      <xdr:nvGraphicFramePr>
        <xdr:cNvPr id="1" name="Diagramm 3"/>
        <xdr:cNvGraphicFramePr/>
      </xdr:nvGraphicFramePr>
      <xdr:xfrm>
        <a:off x="10629900" y="9582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47625</xdr:rowOff>
    </xdr:from>
    <xdr:to>
      <xdr:col>11</xdr:col>
      <xdr:colOff>0</xdr:colOff>
      <xdr:row>39</xdr:row>
      <xdr:rowOff>19050</xdr:rowOff>
    </xdr:to>
    <xdr:graphicFrame>
      <xdr:nvGraphicFramePr>
        <xdr:cNvPr id="2" name="Diagramm 6"/>
        <xdr:cNvGraphicFramePr/>
      </xdr:nvGraphicFramePr>
      <xdr:xfrm>
        <a:off x="457200" y="3524250"/>
        <a:ext cx="90963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476250</xdr:colOff>
      <xdr:row>40</xdr:row>
      <xdr:rowOff>85725</xdr:rowOff>
    </xdr:from>
    <xdr:ext cx="104775" cy="238125"/>
    <xdr:sp fLocksText="0">
      <xdr:nvSpPr>
        <xdr:cNvPr id="3" name="Text Box 65"/>
        <xdr:cNvSpPr txBox="1">
          <a:spLocks noChangeArrowheads="1"/>
        </xdr:cNvSpPr>
      </xdr:nvSpPr>
      <xdr:spPr>
        <a:xfrm>
          <a:off x="923925" y="79533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transitionEvaluation="1">
    <pageSetUpPr fitToPage="1"/>
  </sheetPr>
  <dimension ref="A1:AE48"/>
  <sheetViews>
    <sheetView showGridLines="0" tabSelected="1" zoomScale="80" zoomScaleNormal="80" zoomScalePageLayoutView="0" workbookViewId="0" topLeftCell="A1">
      <selection activeCell="O34" sqref="O34"/>
    </sheetView>
  </sheetViews>
  <sheetFormatPr defaultColWidth="14.88671875" defaultRowHeight="15"/>
  <cols>
    <col min="1" max="1" width="5.21484375" style="0" customWidth="1"/>
    <col min="2" max="2" width="22.6640625" style="0" customWidth="1"/>
    <col min="3" max="3" width="4.77734375" style="0" customWidth="1"/>
    <col min="4" max="4" width="6.3359375" style="0" customWidth="1"/>
    <col min="5" max="5" width="9.99609375" style="0" bestFit="1" customWidth="1"/>
    <col min="6" max="6" width="5.5546875" style="0" customWidth="1"/>
    <col min="7" max="7" width="9.99609375" style="0" bestFit="1" customWidth="1"/>
    <col min="8" max="8" width="22.10546875" style="0" customWidth="1"/>
    <col min="9" max="9" width="8.4453125" style="0" customWidth="1"/>
    <col min="10" max="10" width="6.3359375" style="0" customWidth="1"/>
    <col min="11" max="11" width="9.99609375" style="0" customWidth="1"/>
    <col min="12" max="12" width="5.5546875" style="0" customWidth="1"/>
    <col min="13" max="13" width="4.21484375" style="0" customWidth="1"/>
    <col min="14" max="14" width="2.77734375" style="0" customWidth="1"/>
  </cols>
  <sheetData>
    <row r="1" spans="1:31" s="1" customFormat="1" ht="24">
      <c r="A1" s="52"/>
      <c r="B1" s="51" t="s">
        <v>0</v>
      </c>
      <c r="C1" s="51"/>
      <c r="E1" s="53"/>
      <c r="F1" s="53"/>
      <c r="G1" s="53"/>
      <c r="H1" s="53"/>
      <c r="I1" s="54"/>
      <c r="J1" s="53"/>
      <c r="K1" s="53"/>
      <c r="L1" s="53"/>
      <c r="M1" s="34"/>
      <c r="N1" s="34"/>
      <c r="O1" s="34"/>
      <c r="AD1" s="4"/>
      <c r="AE1" s="4"/>
    </row>
    <row r="2" spans="1:31" s="1" customFormat="1" ht="24">
      <c r="A2" s="52"/>
      <c r="B2" s="48" t="s">
        <v>14</v>
      </c>
      <c r="C2" s="48"/>
      <c r="E2" s="35"/>
      <c r="F2" s="53"/>
      <c r="G2" s="53"/>
      <c r="H2" s="53"/>
      <c r="I2" s="54"/>
      <c r="J2" s="53"/>
      <c r="K2" s="53"/>
      <c r="L2" s="53"/>
      <c r="M2" s="34"/>
      <c r="N2" s="34"/>
      <c r="O2" s="34"/>
      <c r="AD2" s="4"/>
      <c r="AE2" s="4"/>
    </row>
    <row r="3" spans="1:15" s="6" customFormat="1" ht="10.5" thickBot="1">
      <c r="A3" s="55"/>
      <c r="B3" s="38"/>
      <c r="C3" s="38"/>
      <c r="E3" s="33"/>
      <c r="F3" s="33"/>
      <c r="G3" s="77"/>
      <c r="H3" s="33"/>
      <c r="I3" s="107"/>
      <c r="J3" s="108"/>
      <c r="K3" s="108"/>
      <c r="L3" s="33"/>
      <c r="M3" s="36"/>
      <c r="N3" s="36"/>
      <c r="O3" s="36"/>
    </row>
    <row r="4" spans="1:15" s="1" customFormat="1" ht="29.25" customHeight="1">
      <c r="A4" s="52"/>
      <c r="B4" s="92" t="s">
        <v>1</v>
      </c>
      <c r="C4" s="97"/>
      <c r="D4" s="80"/>
      <c r="E4" s="91"/>
      <c r="F4" s="86"/>
      <c r="G4" s="96"/>
      <c r="H4" s="166" t="s">
        <v>2</v>
      </c>
      <c r="I4" s="109"/>
      <c r="J4" s="109"/>
      <c r="K4" s="109"/>
      <c r="L4" s="93"/>
      <c r="M4" s="34"/>
      <c r="N4" s="37"/>
      <c r="O4" s="34"/>
    </row>
    <row r="5" spans="1:15" s="1" customFormat="1" ht="7.5" customHeight="1">
      <c r="A5" s="52"/>
      <c r="B5" s="89"/>
      <c r="C5" s="98"/>
      <c r="D5" s="101"/>
      <c r="E5" s="83"/>
      <c r="F5" s="102"/>
      <c r="G5" s="96"/>
      <c r="H5" s="94"/>
      <c r="I5" s="110"/>
      <c r="J5" s="111"/>
      <c r="K5" s="78"/>
      <c r="L5" s="58"/>
      <c r="M5" s="34"/>
      <c r="N5" s="41"/>
      <c r="O5" s="34"/>
    </row>
    <row r="6" spans="1:15" s="1" customFormat="1" ht="20.25">
      <c r="A6" s="52"/>
      <c r="B6" s="49" t="s">
        <v>3</v>
      </c>
      <c r="C6" s="48"/>
      <c r="D6" s="101"/>
      <c r="E6" s="103"/>
      <c r="F6" s="104"/>
      <c r="G6" s="96"/>
      <c r="H6" s="48" t="s">
        <v>4</v>
      </c>
      <c r="I6" s="112"/>
      <c r="J6" s="113"/>
      <c r="K6" s="103"/>
      <c r="L6" s="74"/>
      <c r="M6" s="34"/>
      <c r="N6" s="37"/>
      <c r="O6" s="34"/>
    </row>
    <row r="7" spans="1:15" s="1" customFormat="1" ht="20.25">
      <c r="A7" s="52"/>
      <c r="B7" s="49" t="s">
        <v>19</v>
      </c>
      <c r="C7" s="48"/>
      <c r="D7" s="101"/>
      <c r="E7" s="105"/>
      <c r="F7" s="106"/>
      <c r="G7" s="96"/>
      <c r="H7" s="48" t="s">
        <v>19</v>
      </c>
      <c r="I7" s="112"/>
      <c r="J7" s="113"/>
      <c r="K7" s="105"/>
      <c r="L7" s="74"/>
      <c r="M7" s="34"/>
      <c r="N7" s="41"/>
      <c r="O7" s="34"/>
    </row>
    <row r="8" spans="1:15" s="1" customFormat="1" ht="21" hidden="1">
      <c r="A8" s="52"/>
      <c r="B8" s="40" t="s">
        <v>15</v>
      </c>
      <c r="C8" s="82"/>
      <c r="D8" s="2"/>
      <c r="E8" s="100">
        <v>1000</v>
      </c>
      <c r="F8" s="76" t="s">
        <v>16</v>
      </c>
      <c r="G8" s="96"/>
      <c r="H8" s="85" t="s">
        <v>15</v>
      </c>
      <c r="I8" s="112"/>
      <c r="J8" s="114"/>
      <c r="K8" s="78">
        <v>1000</v>
      </c>
      <c r="L8" s="58" t="s">
        <v>16</v>
      </c>
      <c r="M8" s="34"/>
      <c r="N8" s="41"/>
      <c r="O8" s="34"/>
    </row>
    <row r="9" spans="1:15" s="1" customFormat="1" ht="7.5" customHeight="1">
      <c r="A9" s="52"/>
      <c r="B9" s="50"/>
      <c r="C9" s="99"/>
      <c r="D9" s="81"/>
      <c r="E9" s="59"/>
      <c r="F9" s="60"/>
      <c r="G9" s="96"/>
      <c r="H9" s="95"/>
      <c r="I9" s="115"/>
      <c r="J9" s="116"/>
      <c r="K9" s="59"/>
      <c r="L9" s="61"/>
      <c r="M9" s="34"/>
      <c r="N9" s="41"/>
      <c r="O9" s="34"/>
    </row>
    <row r="10" spans="1:15" s="1" customFormat="1" ht="18">
      <c r="A10" s="124"/>
      <c r="B10" s="174" t="s">
        <v>20</v>
      </c>
      <c r="C10" s="84"/>
      <c r="D10" s="2"/>
      <c r="E10" s="88"/>
      <c r="F10" s="84"/>
      <c r="G10" s="96"/>
      <c r="H10" s="48"/>
      <c r="I10" s="112"/>
      <c r="J10" s="113"/>
      <c r="L10" s="87"/>
      <c r="M10" s="34"/>
      <c r="N10" s="41"/>
      <c r="O10" s="34"/>
    </row>
    <row r="11" spans="1:15" s="1" customFormat="1" ht="16.5" thickBot="1">
      <c r="A11" s="52"/>
      <c r="B11" s="175"/>
      <c r="C11" s="125"/>
      <c r="D11" s="90"/>
      <c r="E11" s="42"/>
      <c r="F11" s="63"/>
      <c r="G11" s="96"/>
      <c r="H11" s="62"/>
      <c r="I11" s="117"/>
      <c r="J11" s="117"/>
      <c r="K11" s="117"/>
      <c r="L11" s="63"/>
      <c r="M11" s="34"/>
      <c r="N11" s="43"/>
      <c r="O11" s="34"/>
    </row>
    <row r="12" spans="1:15" s="1" customFormat="1" ht="17.25">
      <c r="A12" s="52"/>
      <c r="B12" s="64"/>
      <c r="C12" s="64"/>
      <c r="E12" s="64"/>
      <c r="F12" s="48" t="s">
        <v>17</v>
      </c>
      <c r="G12" s="65"/>
      <c r="H12" s="64"/>
      <c r="I12" s="64"/>
      <c r="J12" s="64"/>
      <c r="K12" s="173">
        <v>1</v>
      </c>
      <c r="L12" s="118" t="s">
        <v>6</v>
      </c>
      <c r="M12" s="43"/>
      <c r="N12" s="43"/>
      <c r="O12" s="34"/>
    </row>
    <row r="13" spans="1:15" s="1" customFormat="1" ht="15">
      <c r="A13" s="52"/>
      <c r="L13" s="56"/>
      <c r="M13" s="34"/>
      <c r="N13" s="43"/>
      <c r="O13" s="34"/>
    </row>
    <row r="14" spans="1:15" s="1" customFormat="1" ht="15">
      <c r="A14" s="52"/>
      <c r="B14" s="57" t="str">
        <f>IF(Berechnungen!R89=TRUE,"Kein Aufprall!","Zusammenstoss!")</f>
        <v>Kein Aufprall!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41"/>
      <c r="N14" s="43"/>
      <c r="O14" s="34"/>
    </row>
    <row r="15" spans="1:15" s="1" customFormat="1" ht="15">
      <c r="A15" s="52"/>
      <c r="B15" s="56"/>
      <c r="C15" s="56"/>
      <c r="E15" s="56"/>
      <c r="F15" s="56"/>
      <c r="G15" s="56"/>
      <c r="H15" s="56"/>
      <c r="I15" s="56"/>
      <c r="J15" s="56"/>
      <c r="K15" s="126"/>
      <c r="L15" s="72"/>
      <c r="M15" s="44"/>
      <c r="N15" s="45"/>
      <c r="O15" s="34"/>
    </row>
    <row r="16" spans="1:15" s="1" customFormat="1" ht="15.75" thickBot="1">
      <c r="A16" s="52"/>
      <c r="B16" s="56"/>
      <c r="C16" s="56"/>
      <c r="E16" s="56"/>
      <c r="F16" s="56"/>
      <c r="G16" s="56"/>
      <c r="H16" s="56"/>
      <c r="I16" s="56"/>
      <c r="J16" s="56"/>
      <c r="K16" s="152"/>
      <c r="L16" s="75"/>
      <c r="M16" s="46"/>
      <c r="N16" s="43"/>
      <c r="O16" s="34"/>
    </row>
    <row r="17" spans="1:15" s="1" customFormat="1" ht="18" thickBot="1">
      <c r="A17" s="52"/>
      <c r="B17" s="48" t="s">
        <v>13</v>
      </c>
      <c r="C17" s="48"/>
      <c r="E17" s="64"/>
      <c r="F17" s="66" t="s">
        <v>5</v>
      </c>
      <c r="G17" s="67"/>
      <c r="H17" s="68"/>
      <c r="I17" s="69"/>
      <c r="J17" s="70">
        <f>('Dropdown-Daten'!H51/('Dropdown-Daten'!H50/3.6))</f>
        <v>1.98</v>
      </c>
      <c r="K17" s="71" t="s">
        <v>6</v>
      </c>
      <c r="L17" s="127"/>
      <c r="M17" s="47"/>
      <c r="N17" s="39"/>
      <c r="O17" s="34"/>
    </row>
    <row r="18" spans="1:15" s="1" customFormat="1" ht="15">
      <c r="A18" s="52"/>
      <c r="B18" s="56"/>
      <c r="C18" s="56"/>
      <c r="E18" s="56"/>
      <c r="F18" s="56"/>
      <c r="G18" s="56"/>
      <c r="H18" s="56"/>
      <c r="I18" s="56"/>
      <c r="J18" s="56"/>
      <c r="K18" s="56"/>
      <c r="L18" s="38"/>
      <c r="M18" s="46"/>
      <c r="N18" s="43"/>
      <c r="O18" s="34"/>
    </row>
    <row r="19" spans="1:15" s="1" customFormat="1" ht="15">
      <c r="A19" s="52"/>
      <c r="B19" s="56"/>
      <c r="C19" s="56"/>
      <c r="E19" s="56"/>
      <c r="F19" s="56"/>
      <c r="G19" s="56"/>
      <c r="H19" s="56"/>
      <c r="I19" s="56"/>
      <c r="J19" s="56"/>
      <c r="K19" s="56"/>
      <c r="L19" s="38"/>
      <c r="M19" s="46"/>
      <c r="N19" s="43"/>
      <c r="O19" s="34"/>
    </row>
    <row r="20" spans="1:15" s="1" customFormat="1" ht="15">
      <c r="A20" s="52"/>
      <c r="B20" s="56"/>
      <c r="C20" s="56"/>
      <c r="E20" s="56"/>
      <c r="F20" s="56"/>
      <c r="G20" s="56"/>
      <c r="H20" s="56"/>
      <c r="I20" s="56"/>
      <c r="J20" s="56"/>
      <c r="K20" s="56"/>
      <c r="L20" s="38"/>
      <c r="M20" s="46"/>
      <c r="N20" s="43"/>
      <c r="O20" s="34"/>
    </row>
    <row r="21" spans="1:15" s="1" customFormat="1" ht="15">
      <c r="A21" s="52"/>
      <c r="B21" s="56"/>
      <c r="C21" s="56"/>
      <c r="E21" s="56"/>
      <c r="F21" s="56"/>
      <c r="G21" s="56"/>
      <c r="H21" s="56"/>
      <c r="I21" s="56"/>
      <c r="J21" s="56"/>
      <c r="K21" s="56"/>
      <c r="L21" s="38"/>
      <c r="M21" s="46"/>
      <c r="N21" s="43"/>
      <c r="O21" s="34"/>
    </row>
    <row r="22" spans="1:15" s="1" customFormat="1" ht="15">
      <c r="A22" s="52"/>
      <c r="B22" s="56"/>
      <c r="C22" s="56"/>
      <c r="E22" s="56"/>
      <c r="F22" s="56"/>
      <c r="G22" s="56"/>
      <c r="H22" s="56"/>
      <c r="I22" s="56"/>
      <c r="J22" s="56"/>
      <c r="K22" s="56"/>
      <c r="L22" s="38"/>
      <c r="M22" s="46"/>
      <c r="N22" s="43"/>
      <c r="O22" s="34"/>
    </row>
    <row r="23" spans="1:15" s="1" customFormat="1" ht="15">
      <c r="A23" s="52"/>
      <c r="B23" s="56"/>
      <c r="C23" s="56"/>
      <c r="E23" s="56"/>
      <c r="F23" s="56"/>
      <c r="G23" s="56"/>
      <c r="H23" s="56"/>
      <c r="I23" s="56"/>
      <c r="J23" s="56"/>
      <c r="K23" s="56"/>
      <c r="L23" s="38"/>
      <c r="M23" s="46"/>
      <c r="N23" s="43"/>
      <c r="O23" s="34"/>
    </row>
    <row r="24" spans="1:15" s="1" customFormat="1" ht="15">
      <c r="A24" s="52"/>
      <c r="B24" s="56"/>
      <c r="C24" s="56"/>
      <c r="E24" s="56"/>
      <c r="F24" s="56"/>
      <c r="G24" s="56"/>
      <c r="H24" s="56"/>
      <c r="I24" s="56"/>
      <c r="J24" s="56"/>
      <c r="K24" s="56"/>
      <c r="L24" s="38"/>
      <c r="M24" s="46"/>
      <c r="N24" s="43"/>
      <c r="O24" s="34"/>
    </row>
    <row r="25" spans="1:15" s="1" customFormat="1" ht="15">
      <c r="A25" s="52"/>
      <c r="B25" s="56"/>
      <c r="C25" s="56"/>
      <c r="E25" s="56"/>
      <c r="F25" s="56"/>
      <c r="G25" s="56"/>
      <c r="H25" s="56"/>
      <c r="I25" s="56"/>
      <c r="J25" s="56"/>
      <c r="K25" s="56"/>
      <c r="L25" s="38"/>
      <c r="M25" s="46"/>
      <c r="N25" s="43"/>
      <c r="O25" s="34"/>
    </row>
    <row r="26" spans="1:15" s="1" customFormat="1" ht="15">
      <c r="A26" s="52"/>
      <c r="B26" s="56"/>
      <c r="C26" s="56"/>
      <c r="E26" s="56"/>
      <c r="F26" s="56"/>
      <c r="G26" s="56"/>
      <c r="H26" s="56"/>
      <c r="I26" s="56"/>
      <c r="J26" s="56"/>
      <c r="K26" s="56"/>
      <c r="L26" s="38"/>
      <c r="M26" s="46"/>
      <c r="N26" s="43"/>
      <c r="O26" s="34"/>
    </row>
    <row r="27" spans="1:15" s="1" customFormat="1" ht="15">
      <c r="A27" s="52"/>
      <c r="B27" s="56"/>
      <c r="C27" s="56"/>
      <c r="E27" s="56"/>
      <c r="F27" s="56"/>
      <c r="G27" s="56"/>
      <c r="H27" s="56"/>
      <c r="I27" s="56"/>
      <c r="J27" s="56"/>
      <c r="K27" s="56"/>
      <c r="L27" s="38"/>
      <c r="M27" s="46"/>
      <c r="N27" s="43"/>
      <c r="O27" s="34"/>
    </row>
    <row r="28" spans="1:15" s="1" customFormat="1" ht="15">
      <c r="A28" s="52"/>
      <c r="B28" s="56"/>
      <c r="C28" s="56"/>
      <c r="E28" s="56"/>
      <c r="F28" s="56"/>
      <c r="G28" s="56"/>
      <c r="H28" s="56"/>
      <c r="I28" s="56"/>
      <c r="J28" s="56"/>
      <c r="K28" s="56"/>
      <c r="L28" s="38"/>
      <c r="M28" s="46"/>
      <c r="N28" s="43"/>
      <c r="O28" s="34"/>
    </row>
    <row r="29" spans="1:15" s="1" customFormat="1" ht="15">
      <c r="A29" s="52"/>
      <c r="B29" s="56"/>
      <c r="C29" s="56"/>
      <c r="E29" s="56"/>
      <c r="F29" s="56"/>
      <c r="G29" s="56"/>
      <c r="H29" s="56"/>
      <c r="I29" s="56"/>
      <c r="J29" s="56"/>
      <c r="K29" s="56"/>
      <c r="L29" s="38"/>
      <c r="M29" s="46"/>
      <c r="N29" s="43"/>
      <c r="O29" s="34"/>
    </row>
    <row r="30" spans="1:15" s="1" customFormat="1" ht="15">
      <c r="A30" s="52"/>
      <c r="B30" s="56"/>
      <c r="C30" s="56"/>
      <c r="E30" s="56"/>
      <c r="F30" s="56"/>
      <c r="G30" s="56"/>
      <c r="H30" s="56"/>
      <c r="I30" s="56"/>
      <c r="J30" s="56"/>
      <c r="K30" s="56"/>
      <c r="L30" s="38"/>
      <c r="M30" s="46"/>
      <c r="N30" s="43"/>
      <c r="O30" s="34"/>
    </row>
    <row r="31" spans="1:15" s="1" customFormat="1" ht="15">
      <c r="A31" s="52"/>
      <c r="B31" s="56"/>
      <c r="C31" s="56"/>
      <c r="E31" s="56"/>
      <c r="F31" s="56"/>
      <c r="G31" s="56"/>
      <c r="H31" s="56"/>
      <c r="I31" s="56"/>
      <c r="J31" s="56"/>
      <c r="K31" s="56"/>
      <c r="L31" s="38"/>
      <c r="M31" s="46"/>
      <c r="N31" s="43"/>
      <c r="O31" s="34"/>
    </row>
    <row r="32" spans="1:15" s="1" customFormat="1" ht="15">
      <c r="A32" s="52"/>
      <c r="B32" s="56"/>
      <c r="C32" s="56"/>
      <c r="E32" s="56"/>
      <c r="F32" s="56"/>
      <c r="G32" s="56"/>
      <c r="H32" s="56"/>
      <c r="I32" s="56"/>
      <c r="J32" s="56"/>
      <c r="K32" s="56"/>
      <c r="L32" s="38"/>
      <c r="M32" s="46"/>
      <c r="N32" s="43"/>
      <c r="O32" s="34"/>
    </row>
    <row r="33" spans="1:15" s="1" customFormat="1" ht="15">
      <c r="A33" s="52"/>
      <c r="B33" s="56"/>
      <c r="C33" s="56"/>
      <c r="E33" s="56"/>
      <c r="F33" s="56"/>
      <c r="G33" s="56"/>
      <c r="H33" s="56"/>
      <c r="I33" s="56"/>
      <c r="J33" s="56"/>
      <c r="K33" s="56"/>
      <c r="L33" s="38"/>
      <c r="M33" s="46"/>
      <c r="N33" s="43"/>
      <c r="O33" s="34"/>
    </row>
    <row r="34" spans="1:15" s="1" customFormat="1" ht="15">
      <c r="A34" s="52"/>
      <c r="B34" s="56"/>
      <c r="C34" s="56"/>
      <c r="E34" s="56"/>
      <c r="F34" s="56"/>
      <c r="G34" s="56"/>
      <c r="H34" s="56"/>
      <c r="I34" s="56"/>
      <c r="J34" s="56"/>
      <c r="K34" s="56"/>
      <c r="L34" s="38"/>
      <c r="M34" s="46"/>
      <c r="N34" s="43"/>
      <c r="O34" s="34"/>
    </row>
    <row r="35" spans="1:15" s="1" customFormat="1" ht="15">
      <c r="A35" s="52"/>
      <c r="B35" s="56"/>
      <c r="C35" s="56"/>
      <c r="E35" s="56"/>
      <c r="F35" s="56"/>
      <c r="G35" s="56"/>
      <c r="H35" s="56"/>
      <c r="I35" s="56"/>
      <c r="J35" s="56"/>
      <c r="K35" s="56"/>
      <c r="L35" s="38"/>
      <c r="M35" s="46"/>
      <c r="N35" s="43"/>
      <c r="O35" s="34"/>
    </row>
    <row r="36" spans="1:15" s="1" customFormat="1" ht="15">
      <c r="A36" s="52"/>
      <c r="B36" s="56"/>
      <c r="C36" s="56"/>
      <c r="E36" s="56"/>
      <c r="F36" s="56"/>
      <c r="G36" s="56"/>
      <c r="H36" s="56"/>
      <c r="I36" s="56"/>
      <c r="J36" s="56"/>
      <c r="K36" s="56"/>
      <c r="L36" s="38"/>
      <c r="M36" s="46"/>
      <c r="N36" s="43"/>
      <c r="O36" s="34"/>
    </row>
    <row r="37" spans="1:15" s="1" customFormat="1" ht="15">
      <c r="A37" s="52"/>
      <c r="H37" s="56"/>
      <c r="I37" s="56"/>
      <c r="J37" s="56"/>
      <c r="K37" s="56"/>
      <c r="L37" s="38"/>
      <c r="M37" s="46"/>
      <c r="N37" s="43"/>
      <c r="O37" s="34"/>
    </row>
    <row r="38" spans="1:15" s="1" customFormat="1" ht="15">
      <c r="A38" s="52"/>
      <c r="H38" s="56"/>
      <c r="I38" s="56"/>
      <c r="J38" s="56"/>
      <c r="K38" s="56"/>
      <c r="L38" s="38"/>
      <c r="M38" s="46"/>
      <c r="N38" s="43"/>
      <c r="O38" s="34"/>
    </row>
    <row r="39" spans="1:15" s="1" customFormat="1" ht="15">
      <c r="A39" s="52"/>
      <c r="B39" s="56"/>
      <c r="C39" s="56"/>
      <c r="E39" s="56"/>
      <c r="F39" s="56"/>
      <c r="G39" s="56"/>
      <c r="H39" s="56"/>
      <c r="I39" s="56"/>
      <c r="J39" s="56"/>
      <c r="K39" s="56"/>
      <c r="L39" s="38"/>
      <c r="M39" s="46"/>
      <c r="N39" s="43"/>
      <c r="O39" s="34"/>
    </row>
    <row r="40" spans="8:14" s="1" customFormat="1" ht="15.75" thickBot="1">
      <c r="H40" s="2"/>
      <c r="I40" s="2"/>
      <c r="L40" s="14"/>
      <c r="M40" s="18"/>
      <c r="N40" s="21"/>
    </row>
    <row r="41" spans="2:14" s="1" customFormat="1" ht="23.25" customHeight="1" thickBot="1">
      <c r="B41" s="176" t="s">
        <v>43</v>
      </c>
      <c r="C41" s="161"/>
      <c r="D41" s="162"/>
      <c r="E41" s="163" t="s">
        <v>29</v>
      </c>
      <c r="F41" s="164"/>
      <c r="G41" s="167" t="s">
        <v>30</v>
      </c>
      <c r="H41" s="165" t="s">
        <v>46</v>
      </c>
      <c r="L41" s="14"/>
      <c r="M41" s="18"/>
      <c r="N41" s="21"/>
    </row>
    <row r="42" spans="2:14" s="1" customFormat="1" ht="21.75" customHeight="1" thickBot="1">
      <c r="B42" s="175"/>
      <c r="C42" s="153"/>
      <c r="D42" s="154"/>
      <c r="E42" s="171">
        <f>Berechnungen!Q87</f>
        <v>0</v>
      </c>
      <c r="F42" s="155"/>
      <c r="G42" s="171">
        <f>Berechnungen!S87</f>
        <v>0</v>
      </c>
      <c r="H42" s="172">
        <f>G42-E42</f>
        <v>0</v>
      </c>
      <c r="L42" s="14"/>
      <c r="M42" s="18"/>
      <c r="N42" s="21"/>
    </row>
    <row r="43" spans="12:14" s="1" customFormat="1" ht="15">
      <c r="L43" s="14"/>
      <c r="M43" s="18"/>
      <c r="N43" s="21"/>
    </row>
    <row r="44" spans="2:14" s="1" customFormat="1" ht="15">
      <c r="B44" s="73" t="s">
        <v>47</v>
      </c>
      <c r="C44" s="73"/>
      <c r="D44" s="73"/>
      <c r="E44" s="73"/>
      <c r="F44" s="73"/>
      <c r="G44" s="73"/>
      <c r="L44" s="14"/>
      <c r="M44" s="18"/>
      <c r="N44" s="21"/>
    </row>
    <row r="45" spans="12:14" s="1" customFormat="1" ht="15">
      <c r="L45" s="14"/>
      <c r="M45" s="18"/>
      <c r="N45" s="21"/>
    </row>
    <row r="46" spans="12:14" s="1" customFormat="1" ht="15">
      <c r="L46" s="14"/>
      <c r="M46" s="18"/>
      <c r="N46" s="21"/>
    </row>
    <row r="47" spans="12:14" s="1" customFormat="1" ht="15">
      <c r="L47" s="14"/>
      <c r="M47" s="18"/>
      <c r="N47" s="21"/>
    </row>
    <row r="48" spans="12:14" ht="15">
      <c r="L48" s="5"/>
      <c r="M48" s="5"/>
      <c r="N48" s="3"/>
    </row>
  </sheetData>
  <sheetProtection sheet="1" objects="1" scenarios="1"/>
  <mergeCells count="2">
    <mergeCell ref="B10:B11"/>
    <mergeCell ref="B41:B42"/>
  </mergeCells>
  <conditionalFormatting sqref="B14">
    <cfRule type="cellIs" priority="1" dxfId="2" operator="equal" stopIfTrue="1">
      <formula>"Kein Aufprall!"</formula>
    </cfRule>
    <cfRule type="cellIs" priority="2" dxfId="3" operator="equal" stopIfTrue="1">
      <formula>"Zusammenstoss!"</formula>
    </cfRule>
  </conditionalFormatting>
  <printOptions horizontalCentered="1" verticalCentered="1"/>
  <pageMargins left="0.7874015748031497" right="0.4724409448818898" top="0.8267716535433072" bottom="0.9055118110236221" header="0.5118110236220472" footer="0.4330708661417323"/>
  <pageSetup fitToHeight="1" fitToWidth="1" horizontalDpi="300" verticalDpi="300" orientation="landscape" paperSize="9" scale="59" r:id="rId3"/>
  <headerFooter alignWithMargins="0">
    <oddFooter>&amp;L&amp;"Arial,Fett"&amp;8StVA St. Gallen
Oberer Graben 32
CH-9001 St. Gallen&amp;C&amp;"Arial,Fett"&amp;8Programmiert durch
Erich Peter, Dipl. Ing. FH
071 229 37 09&amp;R&amp;"Arial,Fett"&amp;8 2004
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P85"/>
  <sheetViews>
    <sheetView zoomScalePageLayoutView="0" workbookViewId="0" topLeftCell="A1">
      <selection activeCell="D45" sqref="D45"/>
    </sheetView>
  </sheetViews>
  <sheetFormatPr defaultColWidth="11.5546875" defaultRowHeight="15"/>
  <cols>
    <col min="1" max="1" width="1.99609375" style="119" customWidth="1"/>
    <col min="2" max="2" width="15.10546875" style="119" bestFit="1" customWidth="1"/>
    <col min="3" max="3" width="3.3359375" style="119" customWidth="1"/>
    <col min="4" max="4" width="13.5546875" style="119" customWidth="1"/>
    <col min="5" max="5" width="2.4453125" style="119" customWidth="1"/>
    <col min="6" max="6" width="13.99609375" style="119" customWidth="1"/>
    <col min="7" max="7" width="2.3359375" style="119" customWidth="1"/>
    <col min="8" max="8" width="16.21484375" style="119" bestFit="1" customWidth="1"/>
    <col min="9" max="9" width="2.3359375" style="119" customWidth="1"/>
    <col min="10" max="10" width="13.77734375" style="119" customWidth="1"/>
    <col min="11" max="11" width="2.3359375" style="119" customWidth="1"/>
    <col min="12" max="12" width="13.77734375" style="119" customWidth="1"/>
    <col min="13" max="16384" width="11.5546875" style="119" customWidth="1"/>
  </cols>
  <sheetData>
    <row r="1" spans="1:10" ht="15">
      <c r="A1" s="128"/>
      <c r="B1" s="168">
        <v>30</v>
      </c>
      <c r="C1" s="129"/>
      <c r="D1" s="130">
        <v>2</v>
      </c>
      <c r="E1" s="128"/>
      <c r="F1" s="131" t="s">
        <v>21</v>
      </c>
      <c r="G1" s="128"/>
      <c r="H1" s="131" t="s">
        <v>35</v>
      </c>
      <c r="I1" s="128"/>
      <c r="J1" s="128"/>
    </row>
    <row r="2" spans="1:10" ht="15">
      <c r="A2" s="132"/>
      <c r="B2" s="168">
        <v>35</v>
      </c>
      <c r="C2" s="129"/>
      <c r="D2" s="130">
        <v>4</v>
      </c>
      <c r="E2" s="133"/>
      <c r="F2" s="128" t="s">
        <v>23</v>
      </c>
      <c r="G2" s="133"/>
      <c r="H2" s="131" t="s">
        <v>36</v>
      </c>
      <c r="I2" s="133"/>
      <c r="J2" s="133"/>
    </row>
    <row r="3" spans="1:10" ht="15">
      <c r="A3" s="132"/>
      <c r="B3" s="168">
        <v>40</v>
      </c>
      <c r="C3" s="129"/>
      <c r="D3" s="130">
        <v>6</v>
      </c>
      <c r="E3" s="134"/>
      <c r="F3" s="131" t="s">
        <v>22</v>
      </c>
      <c r="G3" s="133"/>
      <c r="H3" s="131"/>
      <c r="I3" s="134"/>
      <c r="J3" s="134"/>
    </row>
    <row r="4" spans="1:10" ht="15">
      <c r="A4" s="132"/>
      <c r="B4" s="168">
        <v>45</v>
      </c>
      <c r="C4" s="129"/>
      <c r="D4" s="130">
        <v>8</v>
      </c>
      <c r="E4" s="132"/>
      <c r="F4" s="120"/>
      <c r="G4" s="120"/>
      <c r="H4" s="131"/>
      <c r="I4" s="120"/>
      <c r="J4" s="120"/>
    </row>
    <row r="5" spans="1:10" ht="15">
      <c r="A5" s="132"/>
      <c r="B5" s="168">
        <v>50</v>
      </c>
      <c r="C5" s="129"/>
      <c r="D5" s="130">
        <v>10</v>
      </c>
      <c r="E5" s="25"/>
      <c r="F5" s="24"/>
      <c r="G5" s="121"/>
      <c r="H5" s="131"/>
      <c r="I5" s="24"/>
      <c r="J5" s="122"/>
    </row>
    <row r="6" spans="1:10" ht="15">
      <c r="A6" s="132"/>
      <c r="B6" s="168">
        <v>55</v>
      </c>
      <c r="C6" s="129"/>
      <c r="D6" s="130">
        <v>12</v>
      </c>
      <c r="E6" s="25"/>
      <c r="F6" s="24"/>
      <c r="G6" s="121"/>
      <c r="H6" s="131"/>
      <c r="I6" s="24"/>
      <c r="J6" s="122"/>
    </row>
    <row r="7" spans="1:10" ht="15">
      <c r="A7" s="132"/>
      <c r="B7" s="168">
        <v>60</v>
      </c>
      <c r="C7" s="129"/>
      <c r="D7" s="130">
        <v>14</v>
      </c>
      <c r="E7" s="25"/>
      <c r="F7" s="24"/>
      <c r="G7" s="121"/>
      <c r="H7" s="24"/>
      <c r="I7" s="24"/>
      <c r="J7" s="122"/>
    </row>
    <row r="8" spans="1:10" ht="15">
      <c r="A8" s="132"/>
      <c r="B8" s="168">
        <v>65</v>
      </c>
      <c r="C8" s="129"/>
      <c r="D8" s="130">
        <v>16</v>
      </c>
      <c r="E8" s="25"/>
      <c r="F8" s="24"/>
      <c r="G8" s="121"/>
      <c r="H8" s="24"/>
      <c r="I8" s="24"/>
      <c r="J8" s="122"/>
    </row>
    <row r="9" spans="1:12" ht="15">
      <c r="A9" s="132"/>
      <c r="B9" s="168">
        <v>70</v>
      </c>
      <c r="C9" s="129"/>
      <c r="D9" s="130">
        <v>18</v>
      </c>
      <c r="E9" s="25"/>
      <c r="F9" s="24"/>
      <c r="G9" s="121"/>
      <c r="H9" s="24"/>
      <c r="I9" s="24"/>
      <c r="J9" s="122"/>
      <c r="L9" s="77"/>
    </row>
    <row r="10" spans="1:12" ht="15">
      <c r="A10" s="132"/>
      <c r="B10" s="168">
        <v>75</v>
      </c>
      <c r="C10" s="129"/>
      <c r="D10" s="130">
        <v>20</v>
      </c>
      <c r="E10" s="25"/>
      <c r="F10" s="24"/>
      <c r="G10" s="121"/>
      <c r="H10" s="24"/>
      <c r="I10" s="24"/>
      <c r="J10" s="122"/>
      <c r="L10" s="77"/>
    </row>
    <row r="11" spans="1:12" ht="15">
      <c r="A11" s="132"/>
      <c r="B11" s="168">
        <v>80</v>
      </c>
      <c r="C11" s="129"/>
      <c r="D11" s="130">
        <v>22</v>
      </c>
      <c r="E11" s="25"/>
      <c r="F11" s="24"/>
      <c r="G11" s="121"/>
      <c r="H11" s="24"/>
      <c r="I11" s="24"/>
      <c r="J11" s="122"/>
      <c r="L11" s="77"/>
    </row>
    <row r="12" spans="1:12" ht="15">
      <c r="A12" s="132"/>
      <c r="B12" s="168">
        <v>85</v>
      </c>
      <c r="C12" s="129"/>
      <c r="D12" s="130">
        <v>24</v>
      </c>
      <c r="E12" s="25"/>
      <c r="F12" s="24"/>
      <c r="G12" s="121"/>
      <c r="H12" s="24"/>
      <c r="I12" s="24"/>
      <c r="J12" s="122"/>
      <c r="L12" s="77"/>
    </row>
    <row r="13" spans="1:12" ht="15">
      <c r="A13" s="132"/>
      <c r="B13" s="168">
        <v>90</v>
      </c>
      <c r="C13" s="129"/>
      <c r="D13" s="130">
        <v>26</v>
      </c>
      <c r="E13" s="25"/>
      <c r="F13" s="24"/>
      <c r="G13" s="121"/>
      <c r="H13" s="24"/>
      <c r="I13" s="24"/>
      <c r="J13" s="122"/>
      <c r="L13" s="77"/>
    </row>
    <row r="14" spans="1:12" ht="15">
      <c r="A14" s="132"/>
      <c r="B14" s="168">
        <v>95</v>
      </c>
      <c r="C14" s="129"/>
      <c r="D14" s="130">
        <v>28</v>
      </c>
      <c r="E14" s="25"/>
      <c r="F14" s="24"/>
      <c r="G14" s="121"/>
      <c r="H14" s="24"/>
      <c r="I14" s="24"/>
      <c r="J14" s="122"/>
      <c r="L14" s="77"/>
    </row>
    <row r="15" spans="1:12" ht="15">
      <c r="A15" s="132"/>
      <c r="B15" s="168">
        <v>100</v>
      </c>
      <c r="C15" s="129"/>
      <c r="D15" s="130">
        <v>30</v>
      </c>
      <c r="E15" s="25"/>
      <c r="F15" s="24"/>
      <c r="G15" s="121"/>
      <c r="H15" s="24"/>
      <c r="I15" s="24"/>
      <c r="J15" s="122"/>
      <c r="L15" s="77"/>
    </row>
    <row r="16" spans="1:12" ht="15">
      <c r="A16" s="132"/>
      <c r="B16" s="168">
        <v>105</v>
      </c>
      <c r="C16" s="129"/>
      <c r="D16" s="130">
        <v>32</v>
      </c>
      <c r="E16" s="25"/>
      <c r="F16" s="24"/>
      <c r="G16" s="121"/>
      <c r="H16" s="24"/>
      <c r="I16" s="24"/>
      <c r="J16" s="122"/>
      <c r="L16" s="77"/>
    </row>
    <row r="17" spans="1:12" ht="15">
      <c r="A17" s="132"/>
      <c r="B17" s="168">
        <v>110</v>
      </c>
      <c r="C17" s="129"/>
      <c r="D17" s="130">
        <v>34</v>
      </c>
      <c r="E17" s="25"/>
      <c r="F17" s="24"/>
      <c r="G17" s="121"/>
      <c r="H17" s="24"/>
      <c r="I17" s="24"/>
      <c r="J17" s="122"/>
      <c r="L17" s="77"/>
    </row>
    <row r="18" spans="1:12" ht="15">
      <c r="A18" s="132"/>
      <c r="B18" s="168">
        <v>115</v>
      </c>
      <c r="C18" s="129"/>
      <c r="D18" s="130">
        <v>36</v>
      </c>
      <c r="E18" s="25"/>
      <c r="F18" s="24"/>
      <c r="G18" s="121"/>
      <c r="H18" s="24"/>
      <c r="I18" s="24"/>
      <c r="J18" s="122"/>
      <c r="L18" s="77"/>
    </row>
    <row r="19" spans="1:12" ht="15">
      <c r="A19" s="132"/>
      <c r="B19" s="168">
        <v>120</v>
      </c>
      <c r="C19" s="129"/>
      <c r="D19" s="130">
        <v>38</v>
      </c>
      <c r="E19" s="25"/>
      <c r="F19" s="24"/>
      <c r="G19" s="121"/>
      <c r="H19" s="24"/>
      <c r="I19" s="24"/>
      <c r="J19" s="122"/>
      <c r="L19" s="77"/>
    </row>
    <row r="20" spans="1:12" ht="15">
      <c r="A20" s="132"/>
      <c r="B20" s="168">
        <v>125</v>
      </c>
      <c r="C20" s="129"/>
      <c r="D20" s="130">
        <v>40</v>
      </c>
      <c r="E20" s="25"/>
      <c r="F20" s="24"/>
      <c r="G20" s="121"/>
      <c r="H20" s="24"/>
      <c r="I20" s="24"/>
      <c r="J20" s="122"/>
      <c r="L20" s="77"/>
    </row>
    <row r="21" spans="1:12" ht="15">
      <c r="A21" s="132"/>
      <c r="B21" s="168">
        <v>130</v>
      </c>
      <c r="C21" s="129"/>
      <c r="D21" s="130">
        <v>42</v>
      </c>
      <c r="E21" s="25"/>
      <c r="F21" s="24"/>
      <c r="G21" s="121"/>
      <c r="H21" s="24"/>
      <c r="I21" s="24"/>
      <c r="J21" s="122"/>
      <c r="L21" s="77"/>
    </row>
    <row r="22" spans="1:12" ht="15">
      <c r="A22" s="132"/>
      <c r="B22" s="168">
        <v>135</v>
      </c>
      <c r="C22" s="129"/>
      <c r="D22" s="130">
        <v>44</v>
      </c>
      <c r="E22" s="25"/>
      <c r="F22" s="24"/>
      <c r="G22" s="121"/>
      <c r="H22" s="24"/>
      <c r="I22" s="24"/>
      <c r="J22" s="122"/>
      <c r="L22" s="77"/>
    </row>
    <row r="23" spans="1:12" ht="15">
      <c r="A23" s="132"/>
      <c r="B23" s="168">
        <v>140</v>
      </c>
      <c r="C23" s="129"/>
      <c r="D23" s="130">
        <v>46</v>
      </c>
      <c r="E23" s="25"/>
      <c r="F23" s="24"/>
      <c r="G23" s="121"/>
      <c r="H23" s="24"/>
      <c r="I23" s="24"/>
      <c r="J23" s="122"/>
      <c r="L23" s="77"/>
    </row>
    <row r="24" spans="1:12" ht="15">
      <c r="A24" s="132"/>
      <c r="B24" s="168">
        <v>145</v>
      </c>
      <c r="C24" s="129"/>
      <c r="D24" s="130">
        <v>48</v>
      </c>
      <c r="E24" s="25"/>
      <c r="F24" s="24"/>
      <c r="G24" s="121"/>
      <c r="H24" s="24"/>
      <c r="I24" s="24"/>
      <c r="J24" s="122"/>
      <c r="L24" s="77"/>
    </row>
    <row r="25" spans="1:12" ht="15">
      <c r="A25" s="132"/>
      <c r="B25" s="168">
        <v>150</v>
      </c>
      <c r="C25" s="129"/>
      <c r="D25" s="130">
        <v>50</v>
      </c>
      <c r="E25" s="25"/>
      <c r="F25" s="24"/>
      <c r="G25" s="121"/>
      <c r="H25" s="24"/>
      <c r="I25" s="24"/>
      <c r="J25" s="122"/>
      <c r="L25" s="77"/>
    </row>
    <row r="26" spans="1:12" ht="15">
      <c r="A26" s="132"/>
      <c r="B26" s="168">
        <v>155</v>
      </c>
      <c r="C26" s="129"/>
      <c r="D26" s="130">
        <v>52</v>
      </c>
      <c r="E26" s="25"/>
      <c r="F26" s="24"/>
      <c r="G26" s="121"/>
      <c r="H26" s="24"/>
      <c r="I26" s="24"/>
      <c r="J26" s="24"/>
      <c r="L26" s="77"/>
    </row>
    <row r="27" spans="1:12" ht="15">
      <c r="A27" s="132"/>
      <c r="B27" s="168">
        <v>160</v>
      </c>
      <c r="C27" s="129"/>
      <c r="D27" s="130">
        <v>54</v>
      </c>
      <c r="E27" s="25"/>
      <c r="F27" s="24"/>
      <c r="G27" s="121"/>
      <c r="H27" s="24"/>
      <c r="I27" s="24"/>
      <c r="J27" s="24"/>
      <c r="L27" s="77"/>
    </row>
    <row r="28" spans="1:12" ht="15">
      <c r="A28" s="132"/>
      <c r="B28" s="168">
        <v>165</v>
      </c>
      <c r="C28" s="129"/>
      <c r="D28" s="130">
        <v>56</v>
      </c>
      <c r="E28" s="25"/>
      <c r="F28" s="24"/>
      <c r="G28" s="121"/>
      <c r="H28" s="24"/>
      <c r="I28" s="24"/>
      <c r="J28" s="24"/>
      <c r="L28" s="77"/>
    </row>
    <row r="29" spans="1:12" ht="15">
      <c r="A29" s="132"/>
      <c r="B29" s="168">
        <v>170</v>
      </c>
      <c r="C29" s="129"/>
      <c r="D29" s="130">
        <v>58</v>
      </c>
      <c r="E29" s="25"/>
      <c r="F29" s="24"/>
      <c r="G29" s="121"/>
      <c r="H29" s="24"/>
      <c r="I29" s="24"/>
      <c r="J29" s="24"/>
      <c r="L29" s="77"/>
    </row>
    <row r="30" spans="1:12" ht="15">
      <c r="A30" s="132"/>
      <c r="B30" s="168">
        <v>175</v>
      </c>
      <c r="C30" s="129"/>
      <c r="D30" s="130">
        <v>60</v>
      </c>
      <c r="E30" s="25"/>
      <c r="F30" s="24"/>
      <c r="G30" s="121"/>
      <c r="H30" s="24"/>
      <c r="I30" s="24"/>
      <c r="J30" s="24"/>
      <c r="L30" s="77"/>
    </row>
    <row r="31" spans="1:12" ht="15">
      <c r="A31" s="132"/>
      <c r="B31" s="168">
        <v>180</v>
      </c>
      <c r="C31" s="129"/>
      <c r="D31" s="130">
        <v>62</v>
      </c>
      <c r="E31" s="25"/>
      <c r="F31" s="24"/>
      <c r="G31" s="121"/>
      <c r="H31" s="24"/>
      <c r="I31" s="24"/>
      <c r="J31" s="24"/>
      <c r="L31" s="77"/>
    </row>
    <row r="32" spans="1:12" ht="15">
      <c r="A32" s="132"/>
      <c r="B32" s="168"/>
      <c r="C32" s="129"/>
      <c r="D32" s="130">
        <v>64</v>
      </c>
      <c r="E32" s="25"/>
      <c r="F32" s="24"/>
      <c r="G32" s="121"/>
      <c r="H32" s="24"/>
      <c r="I32" s="24"/>
      <c r="J32" s="24"/>
      <c r="L32" s="77"/>
    </row>
    <row r="33" spans="1:12" ht="15">
      <c r="A33" s="132"/>
      <c r="B33" s="168"/>
      <c r="C33" s="129"/>
      <c r="D33" s="130">
        <v>66</v>
      </c>
      <c r="E33" s="25"/>
      <c r="F33" s="24"/>
      <c r="G33" s="121"/>
      <c r="H33" s="24"/>
      <c r="I33" s="24"/>
      <c r="J33" s="24"/>
      <c r="L33" s="77"/>
    </row>
    <row r="34" spans="1:12" ht="15">
      <c r="A34" s="132"/>
      <c r="B34" s="168"/>
      <c r="C34" s="129"/>
      <c r="D34" s="130">
        <v>68</v>
      </c>
      <c r="E34" s="25"/>
      <c r="F34" s="24"/>
      <c r="G34" s="121"/>
      <c r="H34" s="24"/>
      <c r="I34" s="24"/>
      <c r="J34" s="24"/>
      <c r="L34" s="77"/>
    </row>
    <row r="35" spans="1:12" ht="15">
      <c r="A35" s="128"/>
      <c r="B35" s="168"/>
      <c r="C35" s="129"/>
      <c r="D35" s="130">
        <v>70</v>
      </c>
      <c r="E35" s="25"/>
      <c r="F35" s="24"/>
      <c r="G35" s="121"/>
      <c r="H35" s="24"/>
      <c r="I35" s="24"/>
      <c r="J35" s="24"/>
      <c r="L35" s="77"/>
    </row>
    <row r="36" spans="1:12" ht="15">
      <c r="A36" s="128"/>
      <c r="B36" s="168"/>
      <c r="C36" s="129"/>
      <c r="E36" s="25"/>
      <c r="F36" s="24"/>
      <c r="G36" s="121"/>
      <c r="H36" s="24"/>
      <c r="I36" s="24"/>
      <c r="J36" s="24"/>
      <c r="L36" s="77"/>
    </row>
    <row r="37" spans="1:12" ht="15">
      <c r="A37" s="128"/>
      <c r="B37" s="168"/>
      <c r="C37" s="129"/>
      <c r="D37" s="129"/>
      <c r="E37" s="25"/>
      <c r="F37" s="24"/>
      <c r="G37" s="121"/>
      <c r="H37" s="24"/>
      <c r="I37" s="24"/>
      <c r="J37" s="24"/>
      <c r="L37" s="77"/>
    </row>
    <row r="38" spans="1:12" ht="15">
      <c r="A38" s="128"/>
      <c r="B38" s="168"/>
      <c r="C38" s="129"/>
      <c r="D38" s="129"/>
      <c r="E38" s="25"/>
      <c r="F38" s="24"/>
      <c r="G38" s="121"/>
      <c r="H38" s="24"/>
      <c r="I38" s="24"/>
      <c r="J38" s="24"/>
      <c r="L38" s="77"/>
    </row>
    <row r="39" spans="1:12" ht="15">
      <c r="A39" s="128"/>
      <c r="B39" s="168"/>
      <c r="C39" s="129"/>
      <c r="D39" s="129"/>
      <c r="E39" s="25"/>
      <c r="F39" s="24"/>
      <c r="G39" s="121"/>
      <c r="H39" s="24"/>
      <c r="I39" s="24"/>
      <c r="J39" s="24"/>
      <c r="L39" s="77"/>
    </row>
    <row r="40" spans="1:12" ht="15">
      <c r="A40" s="128"/>
      <c r="B40" s="168"/>
      <c r="C40" s="129"/>
      <c r="D40" s="129"/>
      <c r="E40" s="25"/>
      <c r="F40" s="24"/>
      <c r="G40" s="121"/>
      <c r="H40" s="24"/>
      <c r="I40" s="24"/>
      <c r="J40" s="24"/>
      <c r="L40" s="77"/>
    </row>
    <row r="41" spans="1:12" ht="15">
      <c r="A41" s="128"/>
      <c r="B41" s="168"/>
      <c r="C41" s="129"/>
      <c r="D41" s="129"/>
      <c r="E41" s="25"/>
      <c r="F41" s="24"/>
      <c r="G41" s="121"/>
      <c r="H41" s="24"/>
      <c r="I41" s="24"/>
      <c r="J41" s="24"/>
      <c r="L41" s="77"/>
    </row>
    <row r="42" spans="1:12" ht="15">
      <c r="A42" s="128"/>
      <c r="B42" s="168"/>
      <c r="C42" s="129"/>
      <c r="D42" s="129"/>
      <c r="E42" s="25"/>
      <c r="F42" s="24"/>
      <c r="G42" s="121"/>
      <c r="H42" s="24"/>
      <c r="I42" s="24"/>
      <c r="J42" s="24"/>
      <c r="L42" s="77"/>
    </row>
    <row r="43" spans="1:12" ht="15">
      <c r="A43" s="128"/>
      <c r="B43" s="168"/>
      <c r="C43" s="129"/>
      <c r="D43" s="129"/>
      <c r="E43" s="25"/>
      <c r="F43" s="24"/>
      <c r="G43" s="121"/>
      <c r="H43" s="24"/>
      <c r="I43" s="24"/>
      <c r="J43" s="24"/>
      <c r="L43" s="77"/>
    </row>
    <row r="44" spans="1:12" ht="15">
      <c r="A44" s="128"/>
      <c r="B44" s="168"/>
      <c r="C44" s="129"/>
      <c r="D44" s="136"/>
      <c r="E44" s="137"/>
      <c r="F44" s="138"/>
      <c r="G44" s="139"/>
      <c r="H44" s="138"/>
      <c r="I44" s="24"/>
      <c r="J44" s="24"/>
      <c r="L44" s="77"/>
    </row>
    <row r="45" spans="1:12" ht="15">
      <c r="A45" s="128"/>
      <c r="B45" s="168"/>
      <c r="C45" s="129"/>
      <c r="D45" s="136"/>
      <c r="E45" s="137"/>
      <c r="F45" s="138"/>
      <c r="G45" s="139"/>
      <c r="H45" s="138"/>
      <c r="I45" s="24"/>
      <c r="J45" s="24"/>
      <c r="L45" s="77"/>
    </row>
    <row r="46" spans="1:12" ht="15">
      <c r="A46" s="128"/>
      <c r="B46" s="24"/>
      <c r="C46" s="24"/>
      <c r="D46" s="138"/>
      <c r="E46" s="137"/>
      <c r="F46" s="138"/>
      <c r="G46" s="139"/>
      <c r="H46" s="138"/>
      <c r="I46" s="24"/>
      <c r="J46" s="24"/>
      <c r="L46" s="123" t="s">
        <v>41</v>
      </c>
    </row>
    <row r="47" spans="1:12" ht="15">
      <c r="A47" s="128"/>
      <c r="B47" s="24"/>
      <c r="C47" s="24"/>
      <c r="D47" s="138"/>
      <c r="E47" s="137"/>
      <c r="F47" s="138"/>
      <c r="G47" s="139"/>
      <c r="H47" s="138"/>
      <c r="I47" s="24"/>
      <c r="J47" s="24"/>
      <c r="L47" s="77"/>
    </row>
    <row r="48" spans="1:14" ht="15">
      <c r="A48" s="128"/>
      <c r="B48" s="24"/>
      <c r="C48" s="24"/>
      <c r="D48" s="138"/>
      <c r="E48" s="137"/>
      <c r="F48" s="138"/>
      <c r="G48" s="139"/>
      <c r="H48" s="138"/>
      <c r="I48" s="24"/>
      <c r="J48" s="24"/>
      <c r="L48" s="77" t="s">
        <v>38</v>
      </c>
      <c r="M48" s="119" t="s">
        <v>23</v>
      </c>
      <c r="N48" s="119" t="s">
        <v>32</v>
      </c>
    </row>
    <row r="49" spans="1:14" ht="15">
      <c r="A49" s="128"/>
      <c r="B49" s="121" t="s">
        <v>24</v>
      </c>
      <c r="C49" s="24"/>
      <c r="D49" s="138" t="s">
        <v>29</v>
      </c>
      <c r="E49" s="137"/>
      <c r="F49" s="138" t="s">
        <v>30</v>
      </c>
      <c r="G49" s="139"/>
      <c r="H49" s="138"/>
      <c r="I49" s="24"/>
      <c r="J49" s="24"/>
      <c r="K49" s="119" t="s">
        <v>39</v>
      </c>
      <c r="L49" s="77" t="b">
        <f>AND(D53=1,D52=1)</f>
        <v>1</v>
      </c>
      <c r="M49" s="77" t="b">
        <f>AND(D53=1,D52=2)</f>
        <v>0</v>
      </c>
      <c r="N49" s="77" t="b">
        <f>AND(D53=1,D52=3)</f>
        <v>0</v>
      </c>
    </row>
    <row r="50" spans="1:14" ht="15">
      <c r="A50" s="128"/>
      <c r="B50" s="129" t="s">
        <v>25</v>
      </c>
      <c r="C50" s="24"/>
      <c r="D50" s="140">
        <v>11</v>
      </c>
      <c r="E50" s="141"/>
      <c r="F50" s="141"/>
      <c r="G50" s="139"/>
      <c r="H50" s="142">
        <f>B1+(D50-1)*5</f>
        <v>80</v>
      </c>
      <c r="I50" s="24"/>
      <c r="J50" s="24"/>
      <c r="K50" s="119" t="s">
        <v>40</v>
      </c>
      <c r="L50" s="77" t="b">
        <f>AND(D52=1,D53=2)</f>
        <v>0</v>
      </c>
      <c r="M50" s="77" t="b">
        <f>AND(D52=2,D53=2)</f>
        <v>0</v>
      </c>
      <c r="N50" s="77" t="b">
        <f>AND(D53=2,D52=3)</f>
        <v>0</v>
      </c>
    </row>
    <row r="51" spans="1:12" ht="15">
      <c r="A51" s="128"/>
      <c r="B51" s="129" t="s">
        <v>26</v>
      </c>
      <c r="C51" s="24"/>
      <c r="D51" s="140"/>
      <c r="E51" s="141"/>
      <c r="F51" s="140">
        <v>22</v>
      </c>
      <c r="G51" s="139"/>
      <c r="H51" s="142">
        <f>D2+(F51-2)*2</f>
        <v>44</v>
      </c>
      <c r="I51" s="24"/>
      <c r="J51" s="24"/>
      <c r="L51" s="77"/>
    </row>
    <row r="52" spans="1:12" ht="15">
      <c r="A52" s="128"/>
      <c r="B52" s="129" t="s">
        <v>27</v>
      </c>
      <c r="C52" s="24"/>
      <c r="D52" s="140">
        <v>1</v>
      </c>
      <c r="E52" s="141"/>
      <c r="F52" s="140">
        <v>1</v>
      </c>
      <c r="G52" s="139"/>
      <c r="H52" s="138"/>
      <c r="I52" s="24"/>
      <c r="J52" s="24"/>
      <c r="L52" s="77"/>
    </row>
    <row r="53" spans="1:16" ht="15">
      <c r="A53" s="128"/>
      <c r="B53" s="129" t="s">
        <v>28</v>
      </c>
      <c r="C53" s="24"/>
      <c r="D53" s="140">
        <v>1</v>
      </c>
      <c r="E53" s="141"/>
      <c r="F53" s="140"/>
      <c r="G53" s="139"/>
      <c r="H53" s="138"/>
      <c r="I53" s="24"/>
      <c r="J53" s="24"/>
      <c r="K53" s="119" t="s">
        <v>39</v>
      </c>
      <c r="L53" s="77">
        <f>IF(L49=TRUE,D59,"")</f>
        <v>7.5</v>
      </c>
      <c r="M53" s="77">
        <f>IF(M49=TRUE,D60,"")</f>
      </c>
      <c r="N53" s="77">
        <f>IF(N49=TRUE,D61,"")</f>
      </c>
      <c r="O53" s="77"/>
      <c r="P53" s="77"/>
    </row>
    <row r="54" spans="1:15" ht="15">
      <c r="A54" s="128"/>
      <c r="B54" s="129"/>
      <c r="C54" s="24"/>
      <c r="D54" s="138"/>
      <c r="E54" s="137"/>
      <c r="F54" s="138"/>
      <c r="G54" s="139"/>
      <c r="H54" s="138"/>
      <c r="I54" s="24"/>
      <c r="J54" s="24"/>
      <c r="K54" s="143" t="s">
        <v>40</v>
      </c>
      <c r="L54" s="77">
        <f>IF(L50=TRUE,F59,"")</f>
      </c>
      <c r="M54" s="119">
        <f>IF(M50=TRUE,F60,"")</f>
      </c>
      <c r="N54" s="77">
        <f>IF(N50=TRUE,F61,"")</f>
      </c>
      <c r="O54" s="121" t="s">
        <v>37</v>
      </c>
    </row>
    <row r="55" spans="1:15" ht="15.75" thickBot="1">
      <c r="A55" s="128"/>
      <c r="B55" s="24"/>
      <c r="C55" s="24"/>
      <c r="D55" s="138"/>
      <c r="E55" s="137"/>
      <c r="F55" s="138"/>
      <c r="G55" s="139"/>
      <c r="H55" s="138"/>
      <c r="I55" s="24"/>
      <c r="J55" s="24"/>
      <c r="L55" s="144">
        <f>SUM(L53:L54)</f>
        <v>7.5</v>
      </c>
      <c r="M55" s="144">
        <f>SUM(M53:M54)</f>
        <v>0</v>
      </c>
      <c r="N55" s="144">
        <f>SUM(N53:N54)</f>
        <v>0</v>
      </c>
      <c r="O55" s="123">
        <f>SUM(L55:N55)</f>
        <v>7.5</v>
      </c>
    </row>
    <row r="56" spans="1:12" ht="15.75" thickTop="1">
      <c r="A56" s="128"/>
      <c r="B56" s="24"/>
      <c r="C56" s="24"/>
      <c r="D56" s="138"/>
      <c r="E56" s="137"/>
      <c r="F56" s="138"/>
      <c r="G56" s="139"/>
      <c r="H56" s="138"/>
      <c r="I56" s="24"/>
      <c r="J56" s="24"/>
      <c r="L56" s="77"/>
    </row>
    <row r="57" spans="2:12" ht="15">
      <c r="B57" s="24"/>
      <c r="C57" s="24"/>
      <c r="D57" s="138"/>
      <c r="E57" s="137"/>
      <c r="F57" s="138"/>
      <c r="G57" s="139"/>
      <c r="H57" s="138"/>
      <c r="I57" s="24"/>
      <c r="J57" s="24"/>
      <c r="L57" s="123" t="s">
        <v>42</v>
      </c>
    </row>
    <row r="58" spans="2:10" ht="15">
      <c r="B58" s="121" t="s">
        <v>37</v>
      </c>
      <c r="C58" s="24"/>
      <c r="D58" s="138" t="s">
        <v>33</v>
      </c>
      <c r="E58" s="137"/>
      <c r="F58" s="138" t="s">
        <v>34</v>
      </c>
      <c r="G58" s="139"/>
      <c r="H58" s="138"/>
      <c r="I58" s="24"/>
      <c r="J58" s="24"/>
    </row>
    <row r="59" spans="2:14" ht="15">
      <c r="B59" s="24" t="s">
        <v>31</v>
      </c>
      <c r="D59" s="138">
        <v>7.5</v>
      </c>
      <c r="E59" s="137"/>
      <c r="F59" s="138">
        <v>6.5</v>
      </c>
      <c r="G59" s="139"/>
      <c r="H59" s="138"/>
      <c r="I59" s="24"/>
      <c r="J59" s="24"/>
      <c r="L59" s="77" t="s">
        <v>38</v>
      </c>
      <c r="M59" s="119" t="s">
        <v>23</v>
      </c>
      <c r="N59" s="119" t="s">
        <v>32</v>
      </c>
    </row>
    <row r="60" spans="2:14" ht="15">
      <c r="B60" s="24" t="s">
        <v>23</v>
      </c>
      <c r="D60" s="138">
        <v>6.5</v>
      </c>
      <c r="E60" s="137"/>
      <c r="F60" s="138">
        <v>5.5</v>
      </c>
      <c r="G60" s="139"/>
      <c r="H60" s="138"/>
      <c r="I60" s="24"/>
      <c r="J60" s="24"/>
      <c r="K60" s="119" t="s">
        <v>39</v>
      </c>
      <c r="L60" s="77" t="b">
        <f>AND(D53=1,F52=1)</f>
        <v>1</v>
      </c>
      <c r="M60" s="77" t="b">
        <f>AND(F52=2,D53=1)</f>
        <v>0</v>
      </c>
      <c r="N60" s="77" t="b">
        <f>AND(F52=3,D53=1)</f>
        <v>0</v>
      </c>
    </row>
    <row r="61" spans="2:14" ht="15">
      <c r="B61" s="24" t="s">
        <v>32</v>
      </c>
      <c r="D61" s="138">
        <v>5.5</v>
      </c>
      <c r="E61" s="137"/>
      <c r="F61" s="138">
        <v>4.5</v>
      </c>
      <c r="G61" s="139"/>
      <c r="H61" s="138"/>
      <c r="I61" s="24"/>
      <c r="J61" s="24"/>
      <c r="K61" s="119" t="s">
        <v>40</v>
      </c>
      <c r="L61" s="77" t="b">
        <f>AND(D53=2,F52=1)</f>
        <v>0</v>
      </c>
      <c r="M61" s="146" t="b">
        <f>AND(F52=2,D53=2)</f>
        <v>0</v>
      </c>
      <c r="N61" s="77" t="b">
        <f>AND(F52=3,D53=2)</f>
        <v>0</v>
      </c>
    </row>
    <row r="62" spans="2:12" ht="15">
      <c r="B62" s="24"/>
      <c r="C62" s="24"/>
      <c r="D62" s="24"/>
      <c r="E62" s="25"/>
      <c r="F62" s="24"/>
      <c r="G62" s="121"/>
      <c r="H62" s="24"/>
      <c r="I62" s="24"/>
      <c r="J62" s="24"/>
      <c r="L62" s="77"/>
    </row>
    <row r="63" spans="2:12" ht="15">
      <c r="B63" s="24"/>
      <c r="C63" s="24"/>
      <c r="D63" s="24"/>
      <c r="E63" s="25"/>
      <c r="F63" s="24"/>
      <c r="G63" s="121"/>
      <c r="H63" s="24"/>
      <c r="I63" s="24"/>
      <c r="J63" s="24"/>
      <c r="L63" s="77"/>
    </row>
    <row r="64" spans="2:15" ht="15">
      <c r="B64" s="24"/>
      <c r="C64" s="24"/>
      <c r="D64" s="24"/>
      <c r="E64" s="25"/>
      <c r="F64" s="24"/>
      <c r="G64" s="121"/>
      <c r="H64" s="24"/>
      <c r="I64" s="24"/>
      <c r="J64" s="24"/>
      <c r="K64" s="119" t="s">
        <v>39</v>
      </c>
      <c r="L64" s="77">
        <f>IF(L60=TRUE,D59,"")</f>
        <v>7.5</v>
      </c>
      <c r="M64" s="77">
        <f>IF(M60=TRUE,D60,"")</f>
      </c>
      <c r="N64" s="77">
        <f>IF(N60=TRUE,D61,"")</f>
      </c>
      <c r="O64" s="77"/>
    </row>
    <row r="65" spans="2:15" ht="15">
      <c r="B65" s="24"/>
      <c r="C65" s="24"/>
      <c r="D65" s="24"/>
      <c r="E65" s="25"/>
      <c r="F65" s="24"/>
      <c r="G65" s="121"/>
      <c r="H65" s="24"/>
      <c r="I65" s="24"/>
      <c r="J65" s="24"/>
      <c r="K65" s="143" t="s">
        <v>40</v>
      </c>
      <c r="L65" s="77">
        <f>IF(L61=TRUE,F59,"")</f>
      </c>
      <c r="M65" s="119">
        <f>IF(M61=TRUE,F60,"")</f>
      </c>
      <c r="N65" s="77">
        <f>IF(N61=TRUE,F61,"")</f>
      </c>
      <c r="O65" s="121" t="s">
        <v>37</v>
      </c>
    </row>
    <row r="66" spans="2:15" ht="15.75" thickBot="1">
      <c r="B66" s="24"/>
      <c r="C66" s="24"/>
      <c r="D66" s="24"/>
      <c r="E66" s="25"/>
      <c r="F66" s="24"/>
      <c r="G66" s="121"/>
      <c r="H66" s="24"/>
      <c r="I66" s="24"/>
      <c r="J66" s="24"/>
      <c r="L66" s="144">
        <f>SUM(L64:L65)</f>
        <v>7.5</v>
      </c>
      <c r="M66" s="144">
        <f>SUM(M64:M65)</f>
        <v>0</v>
      </c>
      <c r="N66" s="144">
        <f>SUM(N64:N65)</f>
        <v>0</v>
      </c>
      <c r="O66" s="123">
        <f>SUM(L66:N66)</f>
        <v>7.5</v>
      </c>
    </row>
    <row r="67" spans="2:12" ht="15" thickTop="1">
      <c r="B67" s="24"/>
      <c r="C67" s="24"/>
      <c r="D67" s="24"/>
      <c r="E67" s="25"/>
      <c r="F67" s="24"/>
      <c r="G67" s="121"/>
      <c r="H67" s="24"/>
      <c r="I67" s="24"/>
      <c r="J67" s="24"/>
      <c r="L67" s="77"/>
    </row>
    <row r="68" spans="2:12" ht="15">
      <c r="B68" s="24"/>
      <c r="C68" s="24"/>
      <c r="D68" s="24"/>
      <c r="E68" s="25"/>
      <c r="F68" s="24"/>
      <c r="G68" s="121"/>
      <c r="H68" s="24"/>
      <c r="I68" s="24"/>
      <c r="J68" s="24"/>
      <c r="L68" s="77"/>
    </row>
    <row r="69" spans="2:12" ht="15">
      <c r="B69" s="24"/>
      <c r="C69" s="24"/>
      <c r="D69" s="24"/>
      <c r="E69" s="25"/>
      <c r="F69" s="24"/>
      <c r="G69" s="121"/>
      <c r="H69" s="24"/>
      <c r="I69" s="24"/>
      <c r="J69" s="24"/>
      <c r="L69" s="77"/>
    </row>
    <row r="70" spans="2:12" ht="15">
      <c r="B70" s="24"/>
      <c r="C70" s="24"/>
      <c r="D70" s="24"/>
      <c r="E70" s="25"/>
      <c r="F70" s="24"/>
      <c r="G70" s="121"/>
      <c r="H70" s="24"/>
      <c r="I70" s="24"/>
      <c r="J70" s="24"/>
      <c r="L70" s="77"/>
    </row>
    <row r="71" spans="2:12" ht="15">
      <c r="B71" s="24"/>
      <c r="C71" s="24"/>
      <c r="D71" s="24"/>
      <c r="E71" s="25"/>
      <c r="F71" s="24"/>
      <c r="G71" s="121"/>
      <c r="H71" s="24"/>
      <c r="I71" s="24"/>
      <c r="J71" s="24"/>
      <c r="L71" s="77"/>
    </row>
    <row r="72" spans="2:12" ht="15">
      <c r="B72" s="24"/>
      <c r="C72" s="24"/>
      <c r="D72" s="24"/>
      <c r="E72" s="25"/>
      <c r="F72" s="24"/>
      <c r="G72" s="121"/>
      <c r="H72" s="24"/>
      <c r="I72" s="24"/>
      <c r="J72" s="24"/>
      <c r="L72" s="77"/>
    </row>
    <row r="73" spans="2:12" ht="15">
      <c r="B73" s="24"/>
      <c r="C73" s="24"/>
      <c r="D73" s="24"/>
      <c r="E73" s="25"/>
      <c r="F73" s="24"/>
      <c r="G73" s="121"/>
      <c r="H73" s="24"/>
      <c r="I73" s="24"/>
      <c r="J73" s="24"/>
      <c r="L73" s="77"/>
    </row>
    <row r="74" spans="2:12" ht="15">
      <c r="B74" s="24"/>
      <c r="C74" s="24"/>
      <c r="D74" s="24"/>
      <c r="E74" s="25"/>
      <c r="F74" s="24"/>
      <c r="G74" s="121"/>
      <c r="H74" s="24"/>
      <c r="I74" s="24"/>
      <c r="J74" s="24"/>
      <c r="L74" s="77"/>
    </row>
    <row r="75" spans="2:12" ht="15">
      <c r="B75" s="24"/>
      <c r="C75" s="24"/>
      <c r="D75" s="24"/>
      <c r="E75" s="25"/>
      <c r="F75" s="24"/>
      <c r="G75" s="121"/>
      <c r="H75" s="24"/>
      <c r="I75" s="24"/>
      <c r="J75" s="24"/>
      <c r="L75" s="77"/>
    </row>
    <row r="76" spans="2:12" ht="15">
      <c r="B76" s="24"/>
      <c r="C76" s="24"/>
      <c r="D76" s="24"/>
      <c r="E76" s="25"/>
      <c r="F76" s="24"/>
      <c r="G76" s="121"/>
      <c r="H76" s="24"/>
      <c r="I76" s="24"/>
      <c r="J76" s="24"/>
      <c r="L76" s="77"/>
    </row>
    <row r="77" spans="2:12" ht="15">
      <c r="B77" s="24"/>
      <c r="C77" s="24"/>
      <c r="D77" s="24"/>
      <c r="E77" s="25"/>
      <c r="F77" s="24"/>
      <c r="G77" s="121"/>
      <c r="H77" s="24"/>
      <c r="I77" s="24"/>
      <c r="J77" s="24"/>
      <c r="L77" s="77"/>
    </row>
    <row r="78" spans="2:12" ht="15">
      <c r="B78" s="24"/>
      <c r="C78" s="24"/>
      <c r="D78" s="24"/>
      <c r="E78" s="25"/>
      <c r="F78" s="24"/>
      <c r="G78" s="121"/>
      <c r="H78" s="24"/>
      <c r="I78" s="24"/>
      <c r="J78" s="24"/>
      <c r="L78" s="77"/>
    </row>
    <row r="79" spans="2:12" ht="15">
      <c r="B79" s="24"/>
      <c r="C79" s="24"/>
      <c r="D79" s="24"/>
      <c r="E79" s="25"/>
      <c r="F79" s="24"/>
      <c r="G79" s="121"/>
      <c r="H79" s="24"/>
      <c r="I79" s="24"/>
      <c r="J79" s="24"/>
      <c r="L79" s="77"/>
    </row>
    <row r="80" spans="2:12" ht="15">
      <c r="B80" s="24"/>
      <c r="C80" s="24"/>
      <c r="D80" s="24"/>
      <c r="E80" s="25"/>
      <c r="F80" s="24"/>
      <c r="G80" s="121"/>
      <c r="H80" s="24"/>
      <c r="I80" s="24"/>
      <c r="J80" s="24"/>
      <c r="L80" s="77"/>
    </row>
    <row r="81" spans="2:12" ht="15">
      <c r="B81" s="24"/>
      <c r="C81" s="24"/>
      <c r="D81" s="24"/>
      <c r="E81" s="25"/>
      <c r="F81" s="24"/>
      <c r="G81" s="121"/>
      <c r="H81" s="24"/>
      <c r="I81" s="24"/>
      <c r="J81" s="24"/>
      <c r="L81" s="77"/>
    </row>
    <row r="82" spans="2:12" ht="15">
      <c r="B82" s="24"/>
      <c r="C82" s="24"/>
      <c r="D82" s="24"/>
      <c r="E82" s="25"/>
      <c r="F82" s="24"/>
      <c r="G82" s="121"/>
      <c r="H82" s="24"/>
      <c r="I82" s="24"/>
      <c r="J82" s="24"/>
      <c r="L82" s="77"/>
    </row>
    <row r="83" spans="2:12" ht="15">
      <c r="B83" s="24"/>
      <c r="C83" s="24"/>
      <c r="D83" s="24"/>
      <c r="E83" s="25"/>
      <c r="F83" s="24"/>
      <c r="G83" s="121"/>
      <c r="H83" s="24"/>
      <c r="I83" s="24"/>
      <c r="J83" s="24"/>
      <c r="L83" s="77"/>
    </row>
    <row r="84" spans="2:12" ht="15">
      <c r="B84" s="24"/>
      <c r="C84" s="24"/>
      <c r="D84" s="24"/>
      <c r="E84" s="25"/>
      <c r="F84" s="24"/>
      <c r="G84" s="121"/>
      <c r="H84" s="24"/>
      <c r="I84" s="24"/>
      <c r="J84" s="24"/>
      <c r="L84" s="77"/>
    </row>
    <row r="85" spans="2:12" ht="15">
      <c r="B85" s="24"/>
      <c r="C85" s="24"/>
      <c r="D85" s="24"/>
      <c r="E85" s="25"/>
      <c r="F85" s="24"/>
      <c r="G85" s="121"/>
      <c r="H85" s="24"/>
      <c r="I85" s="24"/>
      <c r="J85" s="24"/>
      <c r="L85" s="7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fitToHeight="2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V175"/>
  <sheetViews>
    <sheetView zoomScalePageLayoutView="0" workbookViewId="0" topLeftCell="A1">
      <selection activeCell="C7" sqref="C7"/>
    </sheetView>
  </sheetViews>
  <sheetFormatPr defaultColWidth="11.5546875" defaultRowHeight="15"/>
  <cols>
    <col min="1" max="1" width="1.99609375" style="0" customWidth="1"/>
    <col min="2" max="3" width="8.5546875" style="0" customWidth="1"/>
    <col min="4" max="4" width="1.77734375" style="0" customWidth="1"/>
    <col min="5" max="5" width="7.6640625" style="0" customWidth="1"/>
    <col min="6" max="6" width="9.77734375" style="0" customWidth="1"/>
    <col min="7" max="8" width="8.5546875" style="0" customWidth="1"/>
    <col min="9" max="9" width="2.4453125" style="0" customWidth="1"/>
    <col min="10" max="10" width="4.10546875" style="0" customWidth="1"/>
    <col min="11" max="11" width="6.99609375" style="0" customWidth="1"/>
    <col min="19" max="19" width="14.3359375" style="0" customWidth="1"/>
    <col min="20" max="20" width="12.4453125" style="0" customWidth="1"/>
  </cols>
  <sheetData>
    <row r="1" ht="23.25">
      <c r="B1" s="79" t="s">
        <v>18</v>
      </c>
    </row>
    <row r="2" spans="15:21" ht="15.75" thickBot="1">
      <c r="O2" s="119"/>
      <c r="P2" s="119"/>
      <c r="Q2" s="119"/>
      <c r="R2" s="119"/>
      <c r="S2" s="119"/>
      <c r="T2" s="119"/>
      <c r="U2" s="119"/>
    </row>
    <row r="3" spans="1:21" ht="15.75" thickBot="1">
      <c r="A3" s="1"/>
      <c r="B3" s="7" t="s">
        <v>7</v>
      </c>
      <c r="C3" s="8"/>
      <c r="D3" s="8"/>
      <c r="E3" s="9"/>
      <c r="F3" s="10"/>
      <c r="G3" s="7" t="s">
        <v>8</v>
      </c>
      <c r="H3" s="8"/>
      <c r="I3" s="10"/>
      <c r="O3" s="119"/>
      <c r="P3" s="119"/>
      <c r="Q3" s="119"/>
      <c r="R3" s="119"/>
      <c r="S3" s="119"/>
      <c r="T3" s="119"/>
      <c r="U3" s="119"/>
    </row>
    <row r="4" spans="1:21" ht="15">
      <c r="A4" s="1"/>
      <c r="B4" s="11"/>
      <c r="C4" s="15"/>
      <c r="D4" s="15"/>
      <c r="E4" s="11"/>
      <c r="F4" s="19"/>
      <c r="G4" s="11"/>
      <c r="H4" s="15"/>
      <c r="I4" s="12"/>
      <c r="O4" s="156" t="s">
        <v>44</v>
      </c>
      <c r="P4" s="145"/>
      <c r="Q4" s="145"/>
      <c r="R4" s="156" t="s">
        <v>45</v>
      </c>
      <c r="S4" s="151"/>
      <c r="T4" s="119"/>
      <c r="U4" s="119"/>
    </row>
    <row r="5" spans="1:21" ht="15">
      <c r="A5" s="1"/>
      <c r="B5" s="13" t="s">
        <v>9</v>
      </c>
      <c r="C5" s="16" t="s">
        <v>10</v>
      </c>
      <c r="D5" s="2"/>
      <c r="E5" s="13" t="s">
        <v>11</v>
      </c>
      <c r="F5" s="20" t="s">
        <v>12</v>
      </c>
      <c r="G5" s="13" t="s">
        <v>9</v>
      </c>
      <c r="H5" s="16" t="s">
        <v>10</v>
      </c>
      <c r="I5" s="17"/>
      <c r="O5" s="157"/>
      <c r="P5" s="119"/>
      <c r="Q5" s="119"/>
      <c r="R5" s="157"/>
      <c r="S5" s="149"/>
      <c r="T5" s="119"/>
      <c r="U5" s="119"/>
    </row>
    <row r="6" spans="1:22" ht="15">
      <c r="A6" s="1"/>
      <c r="B6" s="23">
        <f>'Dropdown-Daten'!$H$50</f>
        <v>80</v>
      </c>
      <c r="C6" s="24">
        <v>0</v>
      </c>
      <c r="D6" s="25"/>
      <c r="E6" s="23">
        <v>0</v>
      </c>
      <c r="F6" s="26">
        <f>'Dropdown-Daten'!$H$51</f>
        <v>44</v>
      </c>
      <c r="G6" s="27">
        <f>IF('Eingabe - Diagramm'!$K$12&gt;=E6,'Dropdown-Daten'!$H$50,(('Dropdown-Daten'!$H$50/3.6)-('Dropdown-Daten'!$O$66*(E6-'Eingabe - Diagramm'!$K$12)))*3.6)</f>
        <v>80</v>
      </c>
      <c r="H6" s="24">
        <f>-'Dropdown-Daten'!H51</f>
        <v>-44</v>
      </c>
      <c r="I6" s="22"/>
      <c r="K6" s="33">
        <f>IF(G6&gt;0,H6,K5)</f>
        <v>-44</v>
      </c>
      <c r="N6">
        <f>IF(O6=FALSE,6)</f>
        <v>6</v>
      </c>
      <c r="O6" s="158" t="b">
        <f>AND(F6&lt;0)</f>
        <v>0</v>
      </c>
      <c r="P6" s="77" t="b">
        <f>AND(O6=TRUE)</f>
        <v>0</v>
      </c>
      <c r="Q6" s="77">
        <f>IF(P6,B6,"")</f>
      </c>
      <c r="R6" s="158" t="b">
        <f>AND(O6=TRUE)</f>
        <v>0</v>
      </c>
      <c r="S6" s="159">
        <f>IF(R6=TRUE,G6,"")</f>
      </c>
      <c r="T6" s="119"/>
      <c r="U6" s="119">
        <f aca="true" t="shared" si="0" ref="U6:U69">IF(P6=TRUE,E5,"")</f>
      </c>
      <c r="V6">
        <f aca="true" t="shared" si="1" ref="V6:V22">IF(P6=TRUE,H5,"")</f>
      </c>
    </row>
    <row r="7" spans="1:22" ht="15">
      <c r="A7" s="1"/>
      <c r="B7" s="23">
        <f>IF(((B$6/3.6)-('Dropdown-Daten'!$O$55*E7))*3.6&gt;0,((B$6/3.6)-('Dropdown-Daten'!$O$55*E7))*3.6,0)</f>
        <v>77.3</v>
      </c>
      <c r="C7" s="24">
        <f>IF(B7=0,C6,(E7/2*(B7/3.6+'Dropdown-Daten'!$H$50/3.6)))</f>
        <v>2.1847222222222222</v>
      </c>
      <c r="D7" s="25"/>
      <c r="E7" s="23">
        <v>0.1</v>
      </c>
      <c r="F7" s="26">
        <f>C7-H7</f>
        <v>43.9625</v>
      </c>
      <c r="G7" s="27">
        <f>IF('Eingabe - Diagramm'!$K$12&gt;=E7,'Dropdown-Daten'!$H$50,(('Dropdown-Daten'!$H$50/3.6)-('Dropdown-Daten'!$O$66*(E7-'Eingabe - Diagramm'!$K$12)))*3.6)</f>
        <v>80</v>
      </c>
      <c r="H7" s="24">
        <f>IF(G7&gt;0,L7,H6)</f>
        <v>-41.77777777777778</v>
      </c>
      <c r="I7" s="22"/>
      <c r="K7" s="33">
        <f aca="true" t="shared" si="2" ref="K7:K37">IF(G7&gt;0,H7,K6)</f>
        <v>-41.77777777777778</v>
      </c>
      <c r="L7" s="33">
        <f>IF('Eingabe - Diagramm'!$K$12&gt;=E7,E7*(G7/3.6)+H$6,(G7/3.6+G6/3.6)/2*(E7-E6)+H6)</f>
        <v>-41.77777777777778</v>
      </c>
      <c r="N7">
        <f>IF(O7=FALSE,N6+1)</f>
        <v>7</v>
      </c>
      <c r="O7" s="158" t="b">
        <f aca="true" t="shared" si="3" ref="O7:O70">AND(F7&lt;0)</f>
        <v>0</v>
      </c>
      <c r="P7" s="77" t="b">
        <f>AND(O7=TRUE,O6=FALSE)</f>
        <v>0</v>
      </c>
      <c r="Q7" s="77">
        <f aca="true" t="shared" si="4" ref="Q7:Q70">IF(P7,B7,"")</f>
      </c>
      <c r="R7" s="158" t="b">
        <f>AND(O7=TRUE,O6=FALSE)</f>
        <v>0</v>
      </c>
      <c r="S7" s="159">
        <f aca="true" t="shared" si="5" ref="S7:S70">IF(R7=TRUE,G7,"")</f>
      </c>
      <c r="T7" s="119"/>
      <c r="U7" s="119">
        <f t="shared" si="0"/>
      </c>
      <c r="V7">
        <f t="shared" si="1"/>
      </c>
    </row>
    <row r="8" spans="1:22" ht="15">
      <c r="A8" s="1"/>
      <c r="B8" s="23">
        <f>IF(((B$6/3.6)-('Dropdown-Daten'!$O$55*E8))*3.6&gt;0,((B$6/3.6)-('Dropdown-Daten'!$O$55*E8))*3.6,0)</f>
        <v>74.6</v>
      </c>
      <c r="C8" s="24">
        <f>IF(B8=0,C7,(E8/2*(B8/3.6+'Dropdown-Daten'!$H$50/3.6)))</f>
        <v>4.294444444444444</v>
      </c>
      <c r="D8" s="25"/>
      <c r="E8" s="23">
        <v>0.2</v>
      </c>
      <c r="F8" s="26">
        <f aca="true" t="shared" si="6" ref="F8:F71">C8-H8</f>
        <v>43.85</v>
      </c>
      <c r="G8" s="27">
        <f>IF('Eingabe - Diagramm'!$K$12&gt;=E8,'Dropdown-Daten'!$H$50,(('Dropdown-Daten'!$H$50/3.6)-('Dropdown-Daten'!$O$66*(E8-'Eingabe - Diagramm'!$K$12)))*3.6)</f>
        <v>80</v>
      </c>
      <c r="H8" s="24">
        <f aca="true" t="shared" si="7" ref="H8:H71">IF(G8&gt;0,L8,H7)</f>
        <v>-39.55555555555556</v>
      </c>
      <c r="I8" s="22"/>
      <c r="K8" s="33">
        <f t="shared" si="2"/>
        <v>-39.55555555555556</v>
      </c>
      <c r="L8" s="33">
        <f>IF('Eingabe - Diagramm'!$K$12&gt;=E8,E8*(G8/3.6)+H$6,(G8/3.6+G7/3.6)/2*(E8-E7)+H7)</f>
        <v>-39.55555555555556</v>
      </c>
      <c r="N8">
        <f aca="true" t="shared" si="8" ref="N8:N71">IF(O8=FALSE,N7+1)</f>
        <v>8</v>
      </c>
      <c r="O8" s="158" t="b">
        <f t="shared" si="3"/>
        <v>0</v>
      </c>
      <c r="P8" s="77" t="b">
        <f aca="true" t="shared" si="9" ref="P8:P71">AND(O8=TRUE,O7=FALSE)</f>
        <v>0</v>
      </c>
      <c r="Q8" s="77">
        <f t="shared" si="4"/>
      </c>
      <c r="R8" s="158" t="b">
        <f aca="true" t="shared" si="10" ref="R8:R73">AND(O8=TRUE,O7=FALSE)</f>
        <v>0</v>
      </c>
      <c r="S8" s="159">
        <f t="shared" si="5"/>
      </c>
      <c r="T8" s="119"/>
      <c r="U8" s="119">
        <f t="shared" si="0"/>
      </c>
      <c r="V8">
        <f t="shared" si="1"/>
      </c>
    </row>
    <row r="9" spans="1:22" ht="15">
      <c r="A9" s="1"/>
      <c r="B9" s="23">
        <f>IF(((B$6/3.6)-('Dropdown-Daten'!$O$55*E9))*3.6&gt;0,((B$6/3.6)-('Dropdown-Daten'!$O$55*E9))*3.6,0)</f>
        <v>71.9</v>
      </c>
      <c r="C9" s="24">
        <f>IF(B9=0,C8,(E9/2*(B9/3.6+'Dropdown-Daten'!$H$50/3.6)))</f>
        <v>6.329166666666667</v>
      </c>
      <c r="D9" s="25"/>
      <c r="E9" s="23">
        <v>0.3</v>
      </c>
      <c r="F9" s="26">
        <f t="shared" si="6"/>
        <v>43.6625</v>
      </c>
      <c r="G9" s="27">
        <f>IF('Eingabe - Diagramm'!$K$12&gt;=E9,'Dropdown-Daten'!$H$50,(('Dropdown-Daten'!$H$50/3.6)-('Dropdown-Daten'!$O$66*(E9-'Eingabe - Diagramm'!$K$12)))*3.6)</f>
        <v>80</v>
      </c>
      <c r="H9" s="24">
        <f t="shared" si="7"/>
        <v>-37.333333333333336</v>
      </c>
      <c r="I9" s="22"/>
      <c r="K9" s="33">
        <f t="shared" si="2"/>
        <v>-37.333333333333336</v>
      </c>
      <c r="L9" s="33">
        <f>IF('Eingabe - Diagramm'!$K$12&gt;=E9,E9*(G9/3.6)+H$6,(G9/3.6+G8/3.6)/2*(E9-E8)+H8)</f>
        <v>-37.333333333333336</v>
      </c>
      <c r="N9">
        <f t="shared" si="8"/>
        <v>9</v>
      </c>
      <c r="O9" s="158" t="b">
        <f t="shared" si="3"/>
        <v>0</v>
      </c>
      <c r="P9" s="77" t="b">
        <f t="shared" si="9"/>
        <v>0</v>
      </c>
      <c r="Q9" s="77">
        <f t="shared" si="4"/>
      </c>
      <c r="R9" s="158" t="b">
        <f t="shared" si="10"/>
        <v>0</v>
      </c>
      <c r="S9" s="159">
        <f t="shared" si="5"/>
      </c>
      <c r="T9" s="119"/>
      <c r="U9" s="119">
        <f t="shared" si="0"/>
      </c>
      <c r="V9">
        <f t="shared" si="1"/>
      </c>
    </row>
    <row r="10" spans="1:22" ht="15">
      <c r="A10" s="1"/>
      <c r="B10" s="23">
        <f>IF(((B$6/3.6)-('Dropdown-Daten'!$O$55*E10))*3.6&gt;0,((B$6/3.6)-('Dropdown-Daten'!$O$55*E10))*3.6,0)</f>
        <v>69.2</v>
      </c>
      <c r="C10" s="24">
        <f>IF(B10=0,C9,(E10/2*(B10/3.6+'Dropdown-Daten'!$H$50/3.6)))</f>
        <v>8.28888888888889</v>
      </c>
      <c r="D10" s="25"/>
      <c r="E10" s="23">
        <v>0.4</v>
      </c>
      <c r="F10" s="26">
        <f t="shared" si="6"/>
        <v>43.400000000000006</v>
      </c>
      <c r="G10" s="27">
        <f>IF('Eingabe - Diagramm'!$K$12&gt;=E10,'Dropdown-Daten'!$H$50,(('Dropdown-Daten'!$H$50/3.6)-('Dropdown-Daten'!$O$66*(E10-'Eingabe - Diagramm'!$K$12)))*3.6)</f>
        <v>80</v>
      </c>
      <c r="H10" s="24">
        <f t="shared" si="7"/>
        <v>-35.111111111111114</v>
      </c>
      <c r="I10" s="22"/>
      <c r="K10" s="33">
        <f t="shared" si="2"/>
        <v>-35.111111111111114</v>
      </c>
      <c r="L10" s="33">
        <f>IF('Eingabe - Diagramm'!$K$12&gt;=E10,E10*(G10/3.6)+H$6,(G10/3.6+G9/3.6)/2*(E10-E9)+H9)</f>
        <v>-35.111111111111114</v>
      </c>
      <c r="N10">
        <f t="shared" si="8"/>
        <v>10</v>
      </c>
      <c r="O10" s="158" t="b">
        <f t="shared" si="3"/>
        <v>0</v>
      </c>
      <c r="P10" s="77" t="b">
        <f t="shared" si="9"/>
        <v>0</v>
      </c>
      <c r="Q10" s="77">
        <f t="shared" si="4"/>
      </c>
      <c r="R10" s="158" t="b">
        <f t="shared" si="10"/>
        <v>0</v>
      </c>
      <c r="S10" s="159">
        <f t="shared" si="5"/>
      </c>
      <c r="T10" s="119"/>
      <c r="U10" s="119">
        <f t="shared" si="0"/>
      </c>
      <c r="V10">
        <f t="shared" si="1"/>
      </c>
    </row>
    <row r="11" spans="1:22" ht="15">
      <c r="A11" s="1"/>
      <c r="B11" s="23">
        <f>IF(((B$6/3.6)-('Dropdown-Daten'!$O$55*E11))*3.6&gt;0,((B$6/3.6)-('Dropdown-Daten'!$O$55*E11))*3.6,0)</f>
        <v>66.5</v>
      </c>
      <c r="C11" s="24">
        <f>IF(B11=0,C10,(E11/2*(B11/3.6+'Dropdown-Daten'!$H$50/3.6)))</f>
        <v>10.17361111111111</v>
      </c>
      <c r="D11" s="25"/>
      <c r="E11" s="23">
        <v>0.5</v>
      </c>
      <c r="F11" s="26">
        <f t="shared" si="6"/>
        <v>43.0625</v>
      </c>
      <c r="G11" s="27">
        <f>IF('Eingabe - Diagramm'!$K$12&gt;=E11,'Dropdown-Daten'!$H$50,(('Dropdown-Daten'!$H$50/3.6)-('Dropdown-Daten'!$O$66*(E11-'Eingabe - Diagramm'!$K$12)))*3.6)</f>
        <v>80</v>
      </c>
      <c r="H11" s="24">
        <f t="shared" si="7"/>
        <v>-32.888888888888886</v>
      </c>
      <c r="I11" s="22"/>
      <c r="K11" s="33">
        <f t="shared" si="2"/>
        <v>-32.888888888888886</v>
      </c>
      <c r="L11" s="33">
        <f>IF('Eingabe - Diagramm'!$K$12&gt;=E11,E11*(G11/3.6)+H$6,(G11/3.6+G10/3.6)/2*(E11-E10)+H10)</f>
        <v>-32.888888888888886</v>
      </c>
      <c r="N11">
        <f t="shared" si="8"/>
        <v>11</v>
      </c>
      <c r="O11" s="158" t="b">
        <f t="shared" si="3"/>
        <v>0</v>
      </c>
      <c r="P11" s="77" t="b">
        <f t="shared" si="9"/>
        <v>0</v>
      </c>
      <c r="Q11" s="77">
        <f t="shared" si="4"/>
      </c>
      <c r="R11" s="158" t="b">
        <f t="shared" si="10"/>
        <v>0</v>
      </c>
      <c r="S11" s="159">
        <f t="shared" si="5"/>
      </c>
      <c r="T11" s="119"/>
      <c r="U11" s="119">
        <f t="shared" si="0"/>
      </c>
      <c r="V11">
        <f t="shared" si="1"/>
      </c>
    </row>
    <row r="12" spans="1:22" ht="15">
      <c r="A12" s="1"/>
      <c r="B12" s="23">
        <f>IF(((B$6/3.6)-('Dropdown-Daten'!$O$55*E12))*3.6&gt;0,((B$6/3.6)-('Dropdown-Daten'!$O$55*E12))*3.6,0)</f>
        <v>63.8</v>
      </c>
      <c r="C12" s="24">
        <f>IF(B12=0,C11,(E12/2*(B12/3.6+'Dropdown-Daten'!$H$50/3.6)))</f>
        <v>11.983333333333333</v>
      </c>
      <c r="D12" s="25"/>
      <c r="E12" s="23">
        <v>0.6</v>
      </c>
      <c r="F12" s="26">
        <f t="shared" si="6"/>
        <v>42.65</v>
      </c>
      <c r="G12" s="27">
        <f>IF('Eingabe - Diagramm'!$K$12&gt;=E12,'Dropdown-Daten'!$H$50,(('Dropdown-Daten'!$H$50/3.6)-('Dropdown-Daten'!$O$66*(E12-'Eingabe - Diagramm'!$K$12)))*3.6)</f>
        <v>80</v>
      </c>
      <c r="H12" s="24">
        <f t="shared" si="7"/>
        <v>-30.666666666666668</v>
      </c>
      <c r="I12" s="22"/>
      <c r="K12" s="33">
        <f t="shared" si="2"/>
        <v>-30.666666666666668</v>
      </c>
      <c r="L12" s="33">
        <f>IF('Eingabe - Diagramm'!$K$12&gt;=E12,E12*(G12/3.6)+H$6,(G12/3.6+G11/3.6)/2*(E12-E11)+H11)</f>
        <v>-30.666666666666668</v>
      </c>
      <c r="N12">
        <f t="shared" si="8"/>
        <v>12</v>
      </c>
      <c r="O12" s="158" t="b">
        <f t="shared" si="3"/>
        <v>0</v>
      </c>
      <c r="P12" s="77" t="b">
        <f t="shared" si="9"/>
        <v>0</v>
      </c>
      <c r="Q12" s="77">
        <f t="shared" si="4"/>
      </c>
      <c r="R12" s="158" t="b">
        <f t="shared" si="10"/>
        <v>0</v>
      </c>
      <c r="S12" s="159">
        <f t="shared" si="5"/>
      </c>
      <c r="T12" s="119"/>
      <c r="U12" s="119">
        <f t="shared" si="0"/>
      </c>
      <c r="V12">
        <f t="shared" si="1"/>
      </c>
    </row>
    <row r="13" spans="1:22" ht="15">
      <c r="A13" s="1"/>
      <c r="B13" s="23">
        <f>IF(((B$6/3.6)-('Dropdown-Daten'!$O$55*E13))*3.6&gt;0,((B$6/3.6)-('Dropdown-Daten'!$O$55*E13))*3.6,0)</f>
        <v>61.1</v>
      </c>
      <c r="C13" s="24">
        <f>IF(B13=0,C12,(E13/2*(B13/3.6+'Dropdown-Daten'!$H$50/3.6)))</f>
        <v>13.718055555555555</v>
      </c>
      <c r="D13" s="25"/>
      <c r="E13" s="23">
        <v>0.7</v>
      </c>
      <c r="F13" s="26">
        <f t="shared" si="6"/>
        <v>42.1625</v>
      </c>
      <c r="G13" s="27">
        <f>IF('Eingabe - Diagramm'!$K$12&gt;=E13,'Dropdown-Daten'!$H$50,(('Dropdown-Daten'!$H$50/3.6)-('Dropdown-Daten'!$O$66*(E13-'Eingabe - Diagramm'!$K$12)))*3.6)</f>
        <v>80</v>
      </c>
      <c r="H13" s="24">
        <f t="shared" si="7"/>
        <v>-28.444444444444446</v>
      </c>
      <c r="I13" s="22"/>
      <c r="K13" s="33">
        <f t="shared" si="2"/>
        <v>-28.444444444444446</v>
      </c>
      <c r="L13" s="33">
        <f>IF('Eingabe - Diagramm'!$K$12&gt;=E13,E13*(G13/3.6)+H$6,(G13/3.6+G12/3.6)/2*(E13-E12)+H12)</f>
        <v>-28.444444444444446</v>
      </c>
      <c r="N13">
        <f t="shared" si="8"/>
        <v>13</v>
      </c>
      <c r="O13" s="158" t="b">
        <f t="shared" si="3"/>
        <v>0</v>
      </c>
      <c r="P13" s="77" t="b">
        <f t="shared" si="9"/>
        <v>0</v>
      </c>
      <c r="Q13" s="77">
        <f t="shared" si="4"/>
      </c>
      <c r="R13" s="158" t="b">
        <f t="shared" si="10"/>
        <v>0</v>
      </c>
      <c r="S13" s="159">
        <f t="shared" si="5"/>
      </c>
      <c r="T13" s="119"/>
      <c r="U13" s="119">
        <f t="shared" si="0"/>
      </c>
      <c r="V13">
        <f t="shared" si="1"/>
      </c>
    </row>
    <row r="14" spans="1:22" ht="15">
      <c r="A14" s="1"/>
      <c r="B14" s="23">
        <f>IF(((B$6/3.6)-('Dropdown-Daten'!$O$55*E14))*3.6&gt;0,((B$6/3.6)-('Dropdown-Daten'!$O$55*E14))*3.6,0)</f>
        <v>58.4</v>
      </c>
      <c r="C14" s="24">
        <f>IF(B14=0,C13,(E14/2*(B14/3.6+'Dropdown-Daten'!$H$50/3.6)))</f>
        <v>15.377777777777778</v>
      </c>
      <c r="D14" s="25"/>
      <c r="E14" s="23">
        <v>0.8</v>
      </c>
      <c r="F14" s="26">
        <f t="shared" si="6"/>
        <v>41.6</v>
      </c>
      <c r="G14" s="27">
        <f>IF('Eingabe - Diagramm'!$K$12&gt;=E14,'Dropdown-Daten'!$H$50,(('Dropdown-Daten'!$H$50/3.6)-('Dropdown-Daten'!$O$66*(E14-'Eingabe - Diagramm'!$K$12)))*3.6)</f>
        <v>80</v>
      </c>
      <c r="H14" s="24">
        <f t="shared" si="7"/>
        <v>-26.22222222222222</v>
      </c>
      <c r="I14" s="22"/>
      <c r="K14" s="33">
        <f t="shared" si="2"/>
        <v>-26.22222222222222</v>
      </c>
      <c r="L14" s="33">
        <f>IF('Eingabe - Diagramm'!$K$12&gt;=E14,E14*(G14/3.6)+H$6,(G14/3.6+G13/3.6)/2*(E14-E13)+H13)</f>
        <v>-26.22222222222222</v>
      </c>
      <c r="N14">
        <f t="shared" si="8"/>
        <v>14</v>
      </c>
      <c r="O14" s="158" t="b">
        <f t="shared" si="3"/>
        <v>0</v>
      </c>
      <c r="P14" s="77" t="b">
        <f t="shared" si="9"/>
        <v>0</v>
      </c>
      <c r="Q14" s="77">
        <f t="shared" si="4"/>
      </c>
      <c r="R14" s="158" t="b">
        <f t="shared" si="10"/>
        <v>0</v>
      </c>
      <c r="S14" s="159">
        <f t="shared" si="5"/>
      </c>
      <c r="T14" s="119"/>
      <c r="U14" s="119">
        <f t="shared" si="0"/>
      </c>
      <c r="V14">
        <f t="shared" si="1"/>
      </c>
    </row>
    <row r="15" spans="1:22" ht="15">
      <c r="A15" s="1"/>
      <c r="B15" s="23">
        <f>IF(((B$6/3.6)-('Dropdown-Daten'!$O$55*E15))*3.6&gt;0,((B$6/3.6)-('Dropdown-Daten'!$O$55*E15))*3.6,0)</f>
        <v>55.699999999999996</v>
      </c>
      <c r="C15" s="24">
        <f>IF(B15=0,C14,(E15/2*(B15/3.6+'Dropdown-Daten'!$H$50/3.6)))</f>
        <v>16.9625</v>
      </c>
      <c r="D15" s="25"/>
      <c r="E15" s="23">
        <v>0.9</v>
      </c>
      <c r="F15" s="26">
        <f t="shared" si="6"/>
        <v>40.9625</v>
      </c>
      <c r="G15" s="27">
        <f>IF('Eingabe - Diagramm'!$K$12&gt;=E15,'Dropdown-Daten'!$H$50,(('Dropdown-Daten'!$H$50/3.6)-('Dropdown-Daten'!$O$66*(E15-'Eingabe - Diagramm'!$K$12)))*3.6)</f>
        <v>80</v>
      </c>
      <c r="H15" s="24">
        <f t="shared" si="7"/>
        <v>-24</v>
      </c>
      <c r="I15" s="22"/>
      <c r="K15" s="33">
        <f t="shared" si="2"/>
        <v>-24</v>
      </c>
      <c r="L15" s="33">
        <f>IF('Eingabe - Diagramm'!$K$12&gt;=E15,E15*(G15/3.6)+H$6,(G15/3.6+G14/3.6)/2*(E15-E14)+H14)</f>
        <v>-24</v>
      </c>
      <c r="N15">
        <f t="shared" si="8"/>
        <v>15</v>
      </c>
      <c r="O15" s="158" t="b">
        <f t="shared" si="3"/>
        <v>0</v>
      </c>
      <c r="P15" s="77" t="b">
        <f t="shared" si="9"/>
        <v>0</v>
      </c>
      <c r="Q15" s="77">
        <f t="shared" si="4"/>
      </c>
      <c r="R15" s="158" t="b">
        <f t="shared" si="10"/>
        <v>0</v>
      </c>
      <c r="S15" s="159">
        <f t="shared" si="5"/>
      </c>
      <c r="T15" s="119"/>
      <c r="U15" s="119">
        <f t="shared" si="0"/>
      </c>
      <c r="V15">
        <f t="shared" si="1"/>
      </c>
    </row>
    <row r="16" spans="1:22" ht="15">
      <c r="A16" s="1"/>
      <c r="B16" s="23">
        <f>IF(((B$6/3.6)-('Dropdown-Daten'!$O$55*E16))*3.6&gt;0,((B$6/3.6)-('Dropdown-Daten'!$O$55*E16))*3.6,0)</f>
        <v>53</v>
      </c>
      <c r="C16" s="24">
        <f>IF(B16=0,C15,(E16/2*(B16/3.6+'Dropdown-Daten'!$H$50/3.6)))</f>
        <v>18.47222222222222</v>
      </c>
      <c r="D16" s="25"/>
      <c r="E16" s="23">
        <v>1</v>
      </c>
      <c r="F16" s="26">
        <f t="shared" si="6"/>
        <v>40.25</v>
      </c>
      <c r="G16" s="27">
        <f>IF('Eingabe - Diagramm'!$K$12&gt;=E16,'Dropdown-Daten'!$H$50,(('Dropdown-Daten'!$H$50/3.6)-('Dropdown-Daten'!$O$66*(E16-'Eingabe - Diagramm'!$K$12)))*3.6)</f>
        <v>80</v>
      </c>
      <c r="H16" s="24">
        <f t="shared" si="7"/>
        <v>-21.77777777777778</v>
      </c>
      <c r="I16" s="22"/>
      <c r="K16" s="33">
        <f t="shared" si="2"/>
        <v>-21.77777777777778</v>
      </c>
      <c r="L16" s="33">
        <f>IF('Eingabe - Diagramm'!$K$12&gt;=E16,E16*(G16/3.6)+H$6,(G16/3.6+G15/3.6)/2*(E16-E15)+H15)</f>
        <v>-21.77777777777778</v>
      </c>
      <c r="N16">
        <f t="shared" si="8"/>
        <v>16</v>
      </c>
      <c r="O16" s="158" t="b">
        <f t="shared" si="3"/>
        <v>0</v>
      </c>
      <c r="P16" s="77" t="b">
        <f t="shared" si="9"/>
        <v>0</v>
      </c>
      <c r="Q16" s="77">
        <f t="shared" si="4"/>
      </c>
      <c r="R16" s="158" t="b">
        <f t="shared" si="10"/>
        <v>0</v>
      </c>
      <c r="S16" s="159">
        <f t="shared" si="5"/>
      </c>
      <c r="T16" s="119"/>
      <c r="U16" s="119">
        <f t="shared" si="0"/>
      </c>
      <c r="V16">
        <f t="shared" si="1"/>
      </c>
    </row>
    <row r="17" spans="1:22" ht="15">
      <c r="A17" s="1"/>
      <c r="B17" s="23">
        <f>IF(((B$6/3.6)-('Dropdown-Daten'!$O$55*E17))*3.6&gt;0,((B$6/3.6)-('Dropdown-Daten'!$O$55*E17))*3.6,0)</f>
        <v>50.3</v>
      </c>
      <c r="C17" s="24">
        <f>IF(B17=0,C16,(E17/2*(B17/3.6+'Dropdown-Daten'!$H$50/3.6)))</f>
        <v>19.906944444444445</v>
      </c>
      <c r="D17" s="25"/>
      <c r="E17" s="23">
        <v>1.1</v>
      </c>
      <c r="F17" s="26">
        <f t="shared" si="6"/>
        <v>39.5</v>
      </c>
      <c r="G17" s="27">
        <f>IF('Eingabe - Diagramm'!$K$12&gt;=E17,'Dropdown-Daten'!$H$50,(('Dropdown-Daten'!$H$50/3.6)-('Dropdown-Daten'!$O$66*(E17-'Eingabe - Diagramm'!$K$12)))*3.6)</f>
        <v>77.3</v>
      </c>
      <c r="H17" s="24">
        <f t="shared" si="7"/>
        <v>-19.593055555555555</v>
      </c>
      <c r="I17" s="22"/>
      <c r="K17" s="33">
        <f t="shared" si="2"/>
        <v>-19.593055555555555</v>
      </c>
      <c r="L17" s="33">
        <f>IF('Eingabe - Diagramm'!$K$12&gt;=E17,E17*(G17/3.6)+H$6,(G17/3.6+G16/3.6)/2*(E17-E16)+H16)</f>
        <v>-19.593055555555555</v>
      </c>
      <c r="N17">
        <f t="shared" si="8"/>
        <v>17</v>
      </c>
      <c r="O17" s="158" t="b">
        <f t="shared" si="3"/>
        <v>0</v>
      </c>
      <c r="P17" s="77" t="b">
        <f t="shared" si="9"/>
        <v>0</v>
      </c>
      <c r="Q17" s="77">
        <f t="shared" si="4"/>
      </c>
      <c r="R17" s="158" t="b">
        <f t="shared" si="10"/>
        <v>0</v>
      </c>
      <c r="S17" s="159">
        <f t="shared" si="5"/>
      </c>
      <c r="T17" s="119"/>
      <c r="U17" s="119">
        <f t="shared" si="0"/>
      </c>
      <c r="V17">
        <f t="shared" si="1"/>
      </c>
    </row>
    <row r="18" spans="1:22" ht="15">
      <c r="A18" s="1"/>
      <c r="B18" s="23">
        <f>IF(((B$6/3.6)-('Dropdown-Daten'!$O$55*E18))*3.6&gt;0,((B$6/3.6)-('Dropdown-Daten'!$O$55*E18))*3.6,0)</f>
        <v>47.6</v>
      </c>
      <c r="C18" s="24">
        <f>IF(B18=0,C17,(E18/2*(B18/3.6+'Dropdown-Daten'!$H$50/3.6)))</f>
        <v>21.266666666666666</v>
      </c>
      <c r="D18" s="25"/>
      <c r="E18" s="23">
        <v>1.2</v>
      </c>
      <c r="F18" s="26">
        <f t="shared" si="6"/>
        <v>38.75</v>
      </c>
      <c r="G18" s="27">
        <f>IF('Eingabe - Diagramm'!$K$12&gt;=E18,'Dropdown-Daten'!$H$50,(('Dropdown-Daten'!$H$50/3.6)-('Dropdown-Daten'!$O$66*(E18-'Eingabe - Diagramm'!$K$12)))*3.6)</f>
        <v>74.6</v>
      </c>
      <c r="H18" s="24">
        <f t="shared" si="7"/>
        <v>-17.483333333333334</v>
      </c>
      <c r="I18" s="22"/>
      <c r="K18" s="33">
        <f t="shared" si="2"/>
        <v>-17.483333333333334</v>
      </c>
      <c r="L18" s="33">
        <f>IF('Eingabe - Diagramm'!$K$12&gt;=E18,E18*(G18/3.6)+H$6,(G18/3.6+G17/3.6)/2*(E18-E17)+H17)</f>
        <v>-17.483333333333334</v>
      </c>
      <c r="N18">
        <f t="shared" si="8"/>
        <v>18</v>
      </c>
      <c r="O18" s="158" t="b">
        <f t="shared" si="3"/>
        <v>0</v>
      </c>
      <c r="P18" s="77" t="b">
        <f t="shared" si="9"/>
        <v>0</v>
      </c>
      <c r="Q18" s="77">
        <f t="shared" si="4"/>
      </c>
      <c r="R18" s="158" t="b">
        <f t="shared" si="10"/>
        <v>0</v>
      </c>
      <c r="S18" s="159">
        <f t="shared" si="5"/>
      </c>
      <c r="T18" s="119"/>
      <c r="U18" s="119">
        <f t="shared" si="0"/>
      </c>
      <c r="V18">
        <f t="shared" si="1"/>
      </c>
    </row>
    <row r="19" spans="1:22" ht="15">
      <c r="A19" s="1"/>
      <c r="B19" s="23">
        <f>IF(((B$6/3.6)-('Dropdown-Daten'!$O$55*E19))*3.6&gt;0,((B$6/3.6)-('Dropdown-Daten'!$O$55*E19))*3.6,0)</f>
        <v>44.9</v>
      </c>
      <c r="C19" s="24">
        <f>IF(B19=0,C18,(E19/2*(B19/3.6+'Dropdown-Daten'!$H$50/3.6)))</f>
        <v>22.551388888888887</v>
      </c>
      <c r="D19" s="25"/>
      <c r="E19" s="23">
        <v>1.3</v>
      </c>
      <c r="F19" s="26">
        <f t="shared" si="6"/>
        <v>38</v>
      </c>
      <c r="G19" s="27">
        <f>IF('Eingabe - Diagramm'!$K$12&gt;=E19,'Dropdown-Daten'!$H$50,(('Dropdown-Daten'!$H$50/3.6)-('Dropdown-Daten'!$O$66*(E19-'Eingabe - Diagramm'!$K$12)))*3.6)</f>
        <v>71.9</v>
      </c>
      <c r="H19" s="24">
        <f t="shared" si="7"/>
        <v>-15.44861111111111</v>
      </c>
      <c r="I19" s="22"/>
      <c r="K19" s="33">
        <f t="shared" si="2"/>
        <v>-15.44861111111111</v>
      </c>
      <c r="L19" s="33">
        <f>IF('Eingabe - Diagramm'!$K$12&gt;=E19,E19*(G19/3.6)+H$6,(G19/3.6+G18/3.6)/2*(E19-E18)+H18)</f>
        <v>-15.44861111111111</v>
      </c>
      <c r="N19">
        <f t="shared" si="8"/>
        <v>19</v>
      </c>
      <c r="O19" s="158" t="b">
        <f t="shared" si="3"/>
        <v>0</v>
      </c>
      <c r="P19" s="77" t="b">
        <f t="shared" si="9"/>
        <v>0</v>
      </c>
      <c r="Q19" s="77">
        <f t="shared" si="4"/>
      </c>
      <c r="R19" s="158" t="b">
        <f t="shared" si="10"/>
        <v>0</v>
      </c>
      <c r="S19" s="159">
        <f t="shared" si="5"/>
      </c>
      <c r="T19" s="119"/>
      <c r="U19" s="119">
        <f t="shared" si="0"/>
      </c>
      <c r="V19">
        <f t="shared" si="1"/>
      </c>
    </row>
    <row r="20" spans="1:22" ht="15">
      <c r="A20" s="1"/>
      <c r="B20" s="23">
        <f>IF(((B$6/3.6)-('Dropdown-Daten'!$O$55*E20))*3.6&gt;0,((B$6/3.6)-('Dropdown-Daten'!$O$55*E20))*3.6,0)</f>
        <v>42.199999999999996</v>
      </c>
      <c r="C20" s="24">
        <f>IF(B20=0,C19,(E20/2*(B20/3.6+'Dropdown-Daten'!$H$50/3.6)))</f>
        <v>23.76111111111111</v>
      </c>
      <c r="D20" s="25"/>
      <c r="E20" s="23">
        <v>1.4</v>
      </c>
      <c r="F20" s="26">
        <f>C20-H20</f>
        <v>37.25</v>
      </c>
      <c r="G20" s="27">
        <f>IF('Eingabe - Diagramm'!$K$12&gt;=E20,'Dropdown-Daten'!$H$50,(('Dropdown-Daten'!$H$50/3.6)-('Dropdown-Daten'!$O$66*(E20-'Eingabe - Diagramm'!$K$12)))*3.6)</f>
        <v>69.2</v>
      </c>
      <c r="H20" s="24">
        <f t="shared" si="7"/>
        <v>-13.48888888888889</v>
      </c>
      <c r="I20" s="22"/>
      <c r="K20" s="33">
        <f t="shared" si="2"/>
        <v>-13.48888888888889</v>
      </c>
      <c r="L20" s="33">
        <f>IF('Eingabe - Diagramm'!$K$12&gt;=E20,E20*(G20/3.6)+H$6,(G20/3.6+G19/3.6)/2*(E20-E19)+H19)</f>
        <v>-13.48888888888889</v>
      </c>
      <c r="N20">
        <f t="shared" si="8"/>
        <v>20</v>
      </c>
      <c r="O20" s="158" t="b">
        <f t="shared" si="3"/>
        <v>0</v>
      </c>
      <c r="P20" s="77" t="b">
        <f t="shared" si="9"/>
        <v>0</v>
      </c>
      <c r="Q20" s="77">
        <f t="shared" si="4"/>
      </c>
      <c r="R20" s="158" t="b">
        <f t="shared" si="10"/>
        <v>0</v>
      </c>
      <c r="S20" s="159">
        <f t="shared" si="5"/>
      </c>
      <c r="T20" s="119"/>
      <c r="U20" s="119">
        <f t="shared" si="0"/>
      </c>
      <c r="V20">
        <f t="shared" si="1"/>
      </c>
    </row>
    <row r="21" spans="1:22" ht="15">
      <c r="A21" s="1"/>
      <c r="B21" s="23">
        <f>IF(((B$6/3.6)-('Dropdown-Daten'!$O$55*E21))*3.6&gt;0,((B$6/3.6)-('Dropdown-Daten'!$O$55*E21))*3.6,0)</f>
        <v>39.5</v>
      </c>
      <c r="C21" s="24">
        <f>IF(B21=0,C20,(E21/2*(B21/3.6+'Dropdown-Daten'!$H$50/3.6)))</f>
        <v>24.895833333333332</v>
      </c>
      <c r="D21" s="25"/>
      <c r="E21" s="23">
        <v>1.5</v>
      </c>
      <c r="F21" s="26">
        <f t="shared" si="6"/>
        <v>36.5</v>
      </c>
      <c r="G21" s="27">
        <f>IF('Eingabe - Diagramm'!$K$12&gt;=E21,'Dropdown-Daten'!$H$50,(('Dropdown-Daten'!$H$50/3.6)-('Dropdown-Daten'!$O$66*(E21-'Eingabe - Diagramm'!$K$12)))*3.6)</f>
        <v>66.5</v>
      </c>
      <c r="H21" s="24">
        <f t="shared" si="7"/>
        <v>-11.604166666666668</v>
      </c>
      <c r="I21" s="22"/>
      <c r="K21" s="33">
        <f t="shared" si="2"/>
        <v>-11.604166666666668</v>
      </c>
      <c r="L21" s="33">
        <f>IF('Eingabe - Diagramm'!$K$12&gt;=E21,E21*(G21/3.6)+H$6,(G21/3.6+G20/3.6)/2*(E21-E20)+H20)</f>
        <v>-11.604166666666668</v>
      </c>
      <c r="N21">
        <f t="shared" si="8"/>
        <v>21</v>
      </c>
      <c r="O21" s="158" t="b">
        <f t="shared" si="3"/>
        <v>0</v>
      </c>
      <c r="P21" s="77" t="b">
        <f t="shared" si="9"/>
        <v>0</v>
      </c>
      <c r="Q21" s="77">
        <f t="shared" si="4"/>
      </c>
      <c r="R21" s="158" t="b">
        <f t="shared" si="10"/>
        <v>0</v>
      </c>
      <c r="S21" s="159">
        <f t="shared" si="5"/>
      </c>
      <c r="T21" s="119"/>
      <c r="U21" s="119">
        <f t="shared" si="0"/>
      </c>
      <c r="V21">
        <f t="shared" si="1"/>
      </c>
    </row>
    <row r="22" spans="1:22" ht="15">
      <c r="A22" s="1"/>
      <c r="B22" s="23">
        <f>IF(((B$6/3.6)-('Dropdown-Daten'!$O$55*E22))*3.6&gt;0,((B$6/3.6)-('Dropdown-Daten'!$O$55*E22))*3.6,0)</f>
        <v>36.8</v>
      </c>
      <c r="C22" s="24">
        <f>IF(B22=0,C21,(E22/2*(B22/3.6+'Dropdown-Daten'!$H$50/3.6)))</f>
        <v>25.955555555555556</v>
      </c>
      <c r="D22" s="25"/>
      <c r="E22" s="23">
        <v>1.6</v>
      </c>
      <c r="F22" s="26">
        <f t="shared" si="6"/>
        <v>35.75</v>
      </c>
      <c r="G22" s="27">
        <f>IF('Eingabe - Diagramm'!$K$12&gt;=E22,'Dropdown-Daten'!$H$50,(('Dropdown-Daten'!$H$50/3.6)-('Dropdown-Daten'!$O$66*(E22-'Eingabe - Diagramm'!$K$12)))*3.6)</f>
        <v>63.8</v>
      </c>
      <c r="H22" s="24">
        <f t="shared" si="7"/>
        <v>-9.794444444444444</v>
      </c>
      <c r="I22" s="22"/>
      <c r="K22" s="33">
        <f t="shared" si="2"/>
        <v>-9.794444444444444</v>
      </c>
      <c r="L22" s="33">
        <f>IF('Eingabe - Diagramm'!$K$12&gt;=E22,E22*(G22/3.6)+H$6,(G22/3.6+G21/3.6)/2*(E22-E21)+H21)</f>
        <v>-9.794444444444444</v>
      </c>
      <c r="N22">
        <f t="shared" si="8"/>
        <v>22</v>
      </c>
      <c r="O22" s="158" t="b">
        <f t="shared" si="3"/>
        <v>0</v>
      </c>
      <c r="P22" s="77" t="b">
        <f t="shared" si="9"/>
        <v>0</v>
      </c>
      <c r="Q22" s="77">
        <f t="shared" si="4"/>
      </c>
      <c r="R22" s="158" t="b">
        <f t="shared" si="10"/>
        <v>0</v>
      </c>
      <c r="S22" s="159">
        <f t="shared" si="5"/>
      </c>
      <c r="T22" s="119"/>
      <c r="U22" s="119">
        <f t="shared" si="0"/>
      </c>
      <c r="V22">
        <f t="shared" si="1"/>
      </c>
    </row>
    <row r="23" spans="1:22" ht="15">
      <c r="A23" s="1"/>
      <c r="B23" s="23">
        <f>IF(((B$6/3.6)-('Dropdown-Daten'!$O$55*E23))*3.6&gt;0,((B$6/3.6)-('Dropdown-Daten'!$O$55*E23))*3.6,0)</f>
        <v>34.1</v>
      </c>
      <c r="C23" s="24">
        <f>IF(B23=0,C22,(E23/2*(B23/3.6+'Dropdown-Daten'!$H$50/3.6)))</f>
        <v>26.940277777777776</v>
      </c>
      <c r="D23" s="25"/>
      <c r="E23" s="23">
        <v>1.7</v>
      </c>
      <c r="F23" s="26">
        <f t="shared" si="6"/>
        <v>35</v>
      </c>
      <c r="G23" s="27">
        <f>IF('Eingabe - Diagramm'!$K$12&gt;=E23,'Dropdown-Daten'!$H$50,(('Dropdown-Daten'!$H$50/3.6)-('Dropdown-Daten'!$O$66*(E23-'Eingabe - Diagramm'!$K$12)))*3.6)</f>
        <v>61.1</v>
      </c>
      <c r="H23" s="24">
        <f t="shared" si="7"/>
        <v>-8.059722222222224</v>
      </c>
      <c r="I23" s="22"/>
      <c r="K23" s="33">
        <f t="shared" si="2"/>
        <v>-8.059722222222224</v>
      </c>
      <c r="L23" s="33">
        <f>IF('Eingabe - Diagramm'!$K$12&gt;=E23,E23*(G23/3.6)+H$6,(G23/3.6+G22/3.6)/2*(E23-E22)+H22)</f>
        <v>-8.059722222222224</v>
      </c>
      <c r="N23">
        <f t="shared" si="8"/>
        <v>23</v>
      </c>
      <c r="O23" s="158" t="b">
        <f t="shared" si="3"/>
        <v>0</v>
      </c>
      <c r="P23" s="77" t="b">
        <f t="shared" si="9"/>
        <v>0</v>
      </c>
      <c r="Q23" s="77">
        <f t="shared" si="4"/>
      </c>
      <c r="R23" s="158" t="b">
        <f t="shared" si="10"/>
        <v>0</v>
      </c>
      <c r="S23" s="159">
        <f t="shared" si="5"/>
      </c>
      <c r="T23" s="119"/>
      <c r="U23" s="119">
        <f t="shared" si="0"/>
      </c>
      <c r="V23">
        <f>IF(P23=TRUE,H22,"")</f>
      </c>
    </row>
    <row r="24" spans="1:22" ht="15">
      <c r="A24" s="1"/>
      <c r="B24" s="23">
        <f>IF(((B$6/3.6)-('Dropdown-Daten'!$O$55*E24))*3.6&gt;0,((B$6/3.6)-('Dropdown-Daten'!$O$55*E24))*3.6,0)</f>
        <v>31.4</v>
      </c>
      <c r="C24" s="24">
        <f>IF(B24=0,C23,(E24/2*(B24/3.6+'Dropdown-Daten'!$H$50/3.6)))</f>
        <v>27.849999999999998</v>
      </c>
      <c r="D24" s="25"/>
      <c r="E24" s="23">
        <v>1.8</v>
      </c>
      <c r="F24" s="26">
        <f t="shared" si="6"/>
        <v>34.25</v>
      </c>
      <c r="G24" s="27">
        <f>IF('Eingabe - Diagramm'!$K$12&gt;=E24,'Dropdown-Daten'!$H$50,(('Dropdown-Daten'!$H$50/3.6)-('Dropdown-Daten'!$O$66*(E24-'Eingabe - Diagramm'!$K$12)))*3.6)</f>
        <v>58.4</v>
      </c>
      <c r="H24" s="24">
        <f t="shared" si="7"/>
        <v>-6.4</v>
      </c>
      <c r="I24" s="22"/>
      <c r="K24" s="33">
        <f t="shared" si="2"/>
        <v>-6.4</v>
      </c>
      <c r="L24" s="33">
        <f>IF('Eingabe - Diagramm'!$K$12&gt;=E24,E24*(G24/3.6)+H$6,(G24/3.6+G23/3.6)/2*(E24-E23)+H23)</f>
        <v>-6.4</v>
      </c>
      <c r="N24">
        <f t="shared" si="8"/>
        <v>24</v>
      </c>
      <c r="O24" s="158" t="b">
        <f t="shared" si="3"/>
        <v>0</v>
      </c>
      <c r="P24" s="77" t="b">
        <f t="shared" si="9"/>
        <v>0</v>
      </c>
      <c r="Q24" s="77">
        <f t="shared" si="4"/>
      </c>
      <c r="R24" s="158" t="b">
        <f t="shared" si="10"/>
        <v>0</v>
      </c>
      <c r="S24" s="159">
        <f t="shared" si="5"/>
      </c>
      <c r="T24" s="119"/>
      <c r="U24" s="119">
        <f t="shared" si="0"/>
      </c>
      <c r="V24">
        <f aca="true" t="shared" si="11" ref="V24:V86">IF(P24=TRUE,H23,"")</f>
      </c>
    </row>
    <row r="25" spans="1:22" ht="15">
      <c r="A25" s="1"/>
      <c r="B25" s="23">
        <f>IF(((B$6/3.6)-('Dropdown-Daten'!$O$55*E25))*3.6&gt;0,((B$6/3.6)-('Dropdown-Daten'!$O$55*E25))*3.6,0)</f>
        <v>28.7</v>
      </c>
      <c r="C25" s="24">
        <f>IF(B25=0,C24,(E25/2*(B25/3.6+'Dropdown-Daten'!$H$50/3.6)))</f>
        <v>28.68472222222222</v>
      </c>
      <c r="D25" s="25"/>
      <c r="E25" s="23">
        <v>1.9</v>
      </c>
      <c r="F25" s="26">
        <f t="shared" si="6"/>
        <v>33.5</v>
      </c>
      <c r="G25" s="27">
        <f>IF('Eingabe - Diagramm'!$K$12&gt;=E25,'Dropdown-Daten'!$H$50,(('Dropdown-Daten'!$H$50/3.6)-('Dropdown-Daten'!$O$66*(E25-'Eingabe - Diagramm'!$K$12)))*3.6)</f>
        <v>55.699999999999996</v>
      </c>
      <c r="H25" s="24">
        <f t="shared" si="7"/>
        <v>-4.81527777777778</v>
      </c>
      <c r="I25" s="22"/>
      <c r="K25" s="33">
        <f t="shared" si="2"/>
        <v>-4.81527777777778</v>
      </c>
      <c r="L25" s="33">
        <f>IF('Eingabe - Diagramm'!$K$12&gt;=E25,E25*(G25/3.6)+H$6,(G25/3.6+G24/3.6)/2*(E25-E24)+H24)</f>
        <v>-4.81527777777778</v>
      </c>
      <c r="N25">
        <f t="shared" si="8"/>
        <v>25</v>
      </c>
      <c r="O25" s="158" t="b">
        <f t="shared" si="3"/>
        <v>0</v>
      </c>
      <c r="P25" s="77" t="b">
        <f t="shared" si="9"/>
        <v>0</v>
      </c>
      <c r="Q25" s="77">
        <f t="shared" si="4"/>
      </c>
      <c r="R25" s="158" t="b">
        <f t="shared" si="10"/>
        <v>0</v>
      </c>
      <c r="S25" s="159">
        <f t="shared" si="5"/>
      </c>
      <c r="T25" s="119"/>
      <c r="U25" s="119">
        <f t="shared" si="0"/>
      </c>
      <c r="V25">
        <f t="shared" si="11"/>
      </c>
    </row>
    <row r="26" spans="1:22" ht="15">
      <c r="A26" s="1"/>
      <c r="B26" s="23">
        <f>IF(((B$6/3.6)-('Dropdown-Daten'!$O$55*E26))*3.6&gt;0,((B$6/3.6)-('Dropdown-Daten'!$O$55*E26))*3.6,0)</f>
        <v>25.999999999999996</v>
      </c>
      <c r="C26" s="24">
        <f>IF(B26=0,C25,(E26/2*(B26/3.6+'Dropdown-Daten'!$H$50/3.6)))</f>
        <v>29.444444444444443</v>
      </c>
      <c r="D26" s="25"/>
      <c r="E26" s="23">
        <v>2</v>
      </c>
      <c r="F26" s="26">
        <f t="shared" si="6"/>
        <v>32.75</v>
      </c>
      <c r="G26" s="27">
        <f>IF('Eingabe - Diagramm'!$K$12&gt;=E26,'Dropdown-Daten'!$H$50,(('Dropdown-Daten'!$H$50/3.6)-('Dropdown-Daten'!$O$66*(E26-'Eingabe - Diagramm'!$K$12)))*3.6)</f>
        <v>53</v>
      </c>
      <c r="H26" s="24">
        <f t="shared" si="7"/>
        <v>-3.3055555555555562</v>
      </c>
      <c r="I26" s="22"/>
      <c r="K26" s="33">
        <f t="shared" si="2"/>
        <v>-3.3055555555555562</v>
      </c>
      <c r="L26" s="33">
        <f>IF('Eingabe - Diagramm'!$K$12&gt;=E26,E26*(G26/3.6)+H$6,(G26/3.6+G25/3.6)/2*(E26-E25)+H25)</f>
        <v>-3.3055555555555562</v>
      </c>
      <c r="N26">
        <f t="shared" si="8"/>
        <v>26</v>
      </c>
      <c r="O26" s="158" t="b">
        <f t="shared" si="3"/>
        <v>0</v>
      </c>
      <c r="P26" s="77" t="b">
        <f>AND(O26=TRUE,O25=FALSE)</f>
        <v>0</v>
      </c>
      <c r="Q26" s="77">
        <f t="shared" si="4"/>
      </c>
      <c r="R26" s="158" t="b">
        <f t="shared" si="10"/>
        <v>0</v>
      </c>
      <c r="S26" s="159">
        <f t="shared" si="5"/>
      </c>
      <c r="T26" s="119"/>
      <c r="U26" s="119">
        <f t="shared" si="0"/>
      </c>
      <c r="V26">
        <f t="shared" si="11"/>
      </c>
    </row>
    <row r="27" spans="1:22" ht="15">
      <c r="A27" s="1"/>
      <c r="B27" s="23">
        <f>IF(((B$6/3.6)-('Dropdown-Daten'!$O$55*E27))*3.6&gt;0,((B$6/3.6)-('Dropdown-Daten'!$O$55*E27))*3.6,0)</f>
        <v>23.299999999999997</v>
      </c>
      <c r="C27" s="24">
        <f>IF(B27=0,C26,(E27/2*(B27/3.6+'Dropdown-Daten'!$H$50/3.6)))</f>
        <v>30.129166666666666</v>
      </c>
      <c r="D27" s="25"/>
      <c r="E27" s="23">
        <v>2.1</v>
      </c>
      <c r="F27" s="26">
        <f t="shared" si="6"/>
        <v>32</v>
      </c>
      <c r="G27" s="27">
        <f>IF('Eingabe - Diagramm'!$K$12&gt;=E27,'Dropdown-Daten'!$H$50,(('Dropdown-Daten'!$H$50/3.6)-('Dropdown-Daten'!$O$66*(E27-'Eingabe - Diagramm'!$K$12)))*3.6)</f>
        <v>50.3</v>
      </c>
      <c r="H27" s="24">
        <f t="shared" si="7"/>
        <v>-1.870833333333333</v>
      </c>
      <c r="I27" s="28"/>
      <c r="K27" s="33">
        <f t="shared" si="2"/>
        <v>-1.870833333333333</v>
      </c>
      <c r="L27" s="33">
        <f>IF('Eingabe - Diagramm'!$K$12&gt;=E27,E27*(G27/3.6)+H$6,(G27/3.6+G26/3.6)/2*(E27-E26)+H26)</f>
        <v>-1.870833333333333</v>
      </c>
      <c r="N27">
        <f t="shared" si="8"/>
        <v>27</v>
      </c>
      <c r="O27" s="158" t="b">
        <f t="shared" si="3"/>
        <v>0</v>
      </c>
      <c r="P27" s="77" t="b">
        <f t="shared" si="9"/>
        <v>0</v>
      </c>
      <c r="Q27" s="77">
        <f t="shared" si="4"/>
      </c>
      <c r="R27" s="158" t="b">
        <f t="shared" si="10"/>
        <v>0</v>
      </c>
      <c r="S27" s="159">
        <f t="shared" si="5"/>
      </c>
      <c r="T27" s="119"/>
      <c r="U27" s="119">
        <f t="shared" si="0"/>
      </c>
      <c r="V27">
        <f t="shared" si="11"/>
      </c>
    </row>
    <row r="28" spans="1:22" ht="15">
      <c r="A28" s="1"/>
      <c r="B28" s="23">
        <f>IF(((B$6/3.6)-('Dropdown-Daten'!$O$55*E28))*3.6&gt;0,((B$6/3.6)-('Dropdown-Daten'!$O$55*E28))*3.6,0)</f>
        <v>20.599999999999998</v>
      </c>
      <c r="C28" s="24">
        <f>IF(B28=0,C27,(E28/2*(B28/3.6+'Dropdown-Daten'!$H$50/3.6)))</f>
        <v>30.73888888888889</v>
      </c>
      <c r="D28" s="25"/>
      <c r="E28" s="23">
        <v>2.2</v>
      </c>
      <c r="F28" s="26">
        <f t="shared" si="6"/>
        <v>31.25</v>
      </c>
      <c r="G28" s="27">
        <f>IF('Eingabe - Diagramm'!$K$12&gt;=E28,'Dropdown-Daten'!$H$50,(('Dropdown-Daten'!$H$50/3.6)-('Dropdown-Daten'!$O$66*(E28-'Eingabe - Diagramm'!$K$12)))*3.6)</f>
        <v>47.599999999999994</v>
      </c>
      <c r="H28" s="24">
        <f t="shared" si="7"/>
        <v>-0.5111111111111095</v>
      </c>
      <c r="I28" s="28"/>
      <c r="K28" s="33">
        <f t="shared" si="2"/>
        <v>-0.5111111111111095</v>
      </c>
      <c r="L28" s="33">
        <f>IF('Eingabe - Diagramm'!$K$12&gt;=E28,E28*(G28/3.6)+H$6,(G28/3.6+G27/3.6)/2*(E28-E27)+H27)</f>
        <v>-0.5111111111111095</v>
      </c>
      <c r="N28">
        <f t="shared" si="8"/>
        <v>28</v>
      </c>
      <c r="O28" s="158" t="b">
        <f t="shared" si="3"/>
        <v>0</v>
      </c>
      <c r="P28" s="77" t="b">
        <f t="shared" si="9"/>
        <v>0</v>
      </c>
      <c r="Q28" s="77">
        <f t="shared" si="4"/>
      </c>
      <c r="R28" s="158" t="b">
        <f t="shared" si="10"/>
        <v>0</v>
      </c>
      <c r="S28" s="159">
        <f t="shared" si="5"/>
      </c>
      <c r="T28" s="119"/>
      <c r="U28" s="119">
        <f t="shared" si="0"/>
      </c>
      <c r="V28">
        <f t="shared" si="11"/>
      </c>
    </row>
    <row r="29" spans="1:22" ht="15">
      <c r="A29" s="1"/>
      <c r="B29" s="23">
        <f>IF(((B$6/3.6)-('Dropdown-Daten'!$O$55*E29))*3.6&gt;0,((B$6/3.6)-('Dropdown-Daten'!$O$55*E29))*3.6,0)</f>
        <v>17.9</v>
      </c>
      <c r="C29" s="24">
        <f>IF(B29=0,C28,(E29/2*(B29/3.6+'Dropdown-Daten'!$H$50/3.6)))</f>
        <v>31.27361111111111</v>
      </c>
      <c r="D29" s="25"/>
      <c r="E29" s="23">
        <v>2.3</v>
      </c>
      <c r="F29" s="26">
        <f t="shared" si="6"/>
        <v>30.5</v>
      </c>
      <c r="G29" s="27">
        <f>IF('Eingabe - Diagramm'!$K$12&gt;=E29,'Dropdown-Daten'!$H$50,(('Dropdown-Daten'!$H$50/3.6)-('Dropdown-Daten'!$O$66*(E29-'Eingabe - Diagramm'!$K$12)))*3.6)</f>
        <v>44.900000000000006</v>
      </c>
      <c r="H29" s="24">
        <f t="shared" si="7"/>
        <v>0.7736111111111081</v>
      </c>
      <c r="I29" s="28"/>
      <c r="K29" s="33">
        <f t="shared" si="2"/>
        <v>0.7736111111111081</v>
      </c>
      <c r="L29" s="33">
        <f>IF('Eingabe - Diagramm'!$K$12&gt;=E29,E29*(G29/3.6)+H$6,(G29/3.6+G28/3.6)/2*(E29-E28)+H28)</f>
        <v>0.7736111111111081</v>
      </c>
      <c r="N29">
        <f t="shared" si="8"/>
        <v>29</v>
      </c>
      <c r="O29" s="158" t="b">
        <f t="shared" si="3"/>
        <v>0</v>
      </c>
      <c r="P29" s="77" t="b">
        <f t="shared" si="9"/>
        <v>0</v>
      </c>
      <c r="Q29" s="77">
        <f t="shared" si="4"/>
      </c>
      <c r="R29" s="158" t="b">
        <f t="shared" si="10"/>
        <v>0</v>
      </c>
      <c r="S29" s="159">
        <f t="shared" si="5"/>
      </c>
      <c r="T29" s="119"/>
      <c r="U29" s="119">
        <f t="shared" si="0"/>
      </c>
      <c r="V29">
        <f t="shared" si="11"/>
      </c>
    </row>
    <row r="30" spans="1:22" ht="15">
      <c r="A30" s="1"/>
      <c r="B30" s="23">
        <f>IF(((B$6/3.6)-('Dropdown-Daten'!$O$55*E30))*3.6&gt;0,((B$6/3.6)-('Dropdown-Daten'!$O$55*E30))*3.6,0)</f>
        <v>15.199999999999998</v>
      </c>
      <c r="C30" s="24">
        <f>IF(B30=0,C29,(E30/2*(B30/3.6+'Dropdown-Daten'!$H$50/3.6)))</f>
        <v>31.73333333333333</v>
      </c>
      <c r="D30" s="25"/>
      <c r="E30" s="23">
        <v>2.4</v>
      </c>
      <c r="F30" s="26">
        <f t="shared" si="6"/>
        <v>29.75</v>
      </c>
      <c r="G30" s="27">
        <f>IF('Eingabe - Diagramm'!$K$12&gt;=E30,'Dropdown-Daten'!$H$50,(('Dropdown-Daten'!$H$50/3.6)-('Dropdown-Daten'!$O$66*(E30-'Eingabe - Diagramm'!$K$12)))*3.6)</f>
        <v>42.199999999999996</v>
      </c>
      <c r="H30" s="24">
        <f t="shared" si="7"/>
        <v>1.9833333333333314</v>
      </c>
      <c r="I30" s="28"/>
      <c r="K30" s="33">
        <f t="shared" si="2"/>
        <v>1.9833333333333314</v>
      </c>
      <c r="L30" s="33">
        <f>IF('Eingabe - Diagramm'!$K$12&gt;=E30,E30*(G30/3.6)+H$6,(G30/3.6+G29/3.6)/2*(E30-E29)+H29)</f>
        <v>1.9833333333333314</v>
      </c>
      <c r="N30">
        <f t="shared" si="8"/>
        <v>30</v>
      </c>
      <c r="O30" s="158" t="b">
        <f t="shared" si="3"/>
        <v>0</v>
      </c>
      <c r="P30" s="77" t="b">
        <f t="shared" si="9"/>
        <v>0</v>
      </c>
      <c r="Q30" s="77">
        <f t="shared" si="4"/>
      </c>
      <c r="R30" s="158" t="b">
        <f t="shared" si="10"/>
        <v>0</v>
      </c>
      <c r="S30" s="159">
        <f t="shared" si="5"/>
      </c>
      <c r="T30" s="119"/>
      <c r="U30" s="119">
        <f t="shared" si="0"/>
      </c>
      <c r="V30">
        <f t="shared" si="11"/>
      </c>
    </row>
    <row r="31" spans="1:22" ht="15">
      <c r="A31" s="1"/>
      <c r="B31" s="23">
        <f>IF(((B$6/3.6)-('Dropdown-Daten'!$O$55*E31))*3.6&gt;0,((B$6/3.6)-('Dropdown-Daten'!$O$55*E31))*3.6,0)</f>
        <v>12.499999999999998</v>
      </c>
      <c r="C31" s="24">
        <f>IF(B31=0,C30,(E31/2*(B31/3.6+'Dropdown-Daten'!$H$50/3.6)))</f>
        <v>32.11805555555556</v>
      </c>
      <c r="D31" s="25"/>
      <c r="E31" s="23">
        <v>2.5</v>
      </c>
      <c r="F31" s="26">
        <f t="shared" si="6"/>
        <v>29.000000000000004</v>
      </c>
      <c r="G31" s="27">
        <f>IF('Eingabe - Diagramm'!$K$12&gt;=E31,'Dropdown-Daten'!$H$50,(('Dropdown-Daten'!$H$50/3.6)-('Dropdown-Daten'!$O$66*(E31-'Eingabe - Diagramm'!$K$12)))*3.6)</f>
        <v>39.5</v>
      </c>
      <c r="H31" s="24">
        <f>IF(G31&gt;0,L31,H30)</f>
        <v>3.1180555555555545</v>
      </c>
      <c r="I31" s="28"/>
      <c r="K31" s="33">
        <f t="shared" si="2"/>
        <v>3.1180555555555545</v>
      </c>
      <c r="L31" s="33">
        <f>IF('Eingabe - Diagramm'!$K$12&gt;=E31,E31*(G31/3.6)+H$6,(G31/3.6+G30/3.6)/2*(E31-E30)+H30)</f>
        <v>3.1180555555555545</v>
      </c>
      <c r="N31">
        <f t="shared" si="8"/>
        <v>31</v>
      </c>
      <c r="O31" s="158" t="b">
        <f t="shared" si="3"/>
        <v>0</v>
      </c>
      <c r="P31" s="77" t="b">
        <f t="shared" si="9"/>
        <v>0</v>
      </c>
      <c r="Q31" s="77">
        <f t="shared" si="4"/>
      </c>
      <c r="R31" s="158" t="b">
        <f t="shared" si="10"/>
        <v>0</v>
      </c>
      <c r="S31" s="159">
        <f t="shared" si="5"/>
      </c>
      <c r="T31" s="119"/>
      <c r="U31" s="119">
        <f t="shared" si="0"/>
      </c>
      <c r="V31">
        <f t="shared" si="11"/>
      </c>
    </row>
    <row r="32" spans="1:22" ht="15">
      <c r="A32" s="1"/>
      <c r="B32" s="23">
        <f>IF(((B$6/3.6)-('Dropdown-Daten'!$O$55*E32))*3.6&gt;0,((B$6/3.6)-('Dropdown-Daten'!$O$55*E32))*3.6,0)</f>
        <v>9.799999999999997</v>
      </c>
      <c r="C32" s="24">
        <f>IF(B32=0,C31,(E32/2*(B32/3.6+'Dropdown-Daten'!$H$50/3.6)))</f>
        <v>32.42777777777778</v>
      </c>
      <c r="D32" s="25"/>
      <c r="E32" s="23">
        <v>2.6</v>
      </c>
      <c r="F32" s="26">
        <f t="shared" si="6"/>
        <v>28.25</v>
      </c>
      <c r="G32" s="27">
        <f>IF('Eingabe - Diagramm'!$K$12&gt;=E32,'Dropdown-Daten'!$H$50,(('Dropdown-Daten'!$H$50/3.6)-('Dropdown-Daten'!$O$66*(E32-'Eingabe - Diagramm'!$K$12)))*3.6)</f>
        <v>36.8</v>
      </c>
      <c r="H32" s="24">
        <f t="shared" si="7"/>
        <v>4.177777777777777</v>
      </c>
      <c r="I32" s="28"/>
      <c r="K32" s="33">
        <f t="shared" si="2"/>
        <v>4.177777777777777</v>
      </c>
      <c r="L32" s="33">
        <f>IF('Eingabe - Diagramm'!$K$12&gt;=E32,E32*(G32/3.6)+H$6,(G32/3.6+G31/3.6)/2*(E32-E31)+H31)</f>
        <v>4.177777777777777</v>
      </c>
      <c r="N32">
        <f t="shared" si="8"/>
        <v>32</v>
      </c>
      <c r="O32" s="158" t="b">
        <f t="shared" si="3"/>
        <v>0</v>
      </c>
      <c r="P32" s="77" t="b">
        <f t="shared" si="9"/>
        <v>0</v>
      </c>
      <c r="Q32" s="77">
        <f t="shared" si="4"/>
      </c>
      <c r="R32" s="158" t="b">
        <f t="shared" si="10"/>
        <v>0</v>
      </c>
      <c r="S32" s="159">
        <f t="shared" si="5"/>
      </c>
      <c r="T32" s="119"/>
      <c r="U32" s="119">
        <f t="shared" si="0"/>
      </c>
      <c r="V32">
        <f t="shared" si="11"/>
      </c>
    </row>
    <row r="33" spans="1:22" ht="15">
      <c r="A33" s="1"/>
      <c r="B33" s="23">
        <f>IF(((B$6/3.6)-('Dropdown-Daten'!$O$55*E33))*3.6&gt;0,((B$6/3.6)-('Dropdown-Daten'!$O$55*E33))*3.6,0)</f>
        <v>7.099999999999997</v>
      </c>
      <c r="C33" s="24">
        <f>IF(B33=0,C32,(E33/2*(B33/3.6+'Dropdown-Daten'!$H$50/3.6)))</f>
        <v>32.6625</v>
      </c>
      <c r="D33" s="25"/>
      <c r="E33" s="23">
        <v>2.7</v>
      </c>
      <c r="F33" s="26">
        <f t="shared" si="6"/>
        <v>27.5</v>
      </c>
      <c r="G33" s="27">
        <f>IF('Eingabe - Diagramm'!$K$12&gt;=E33,'Dropdown-Daten'!$H$50,(('Dropdown-Daten'!$H$50/3.6)-('Dropdown-Daten'!$O$66*(E33-'Eingabe - Diagramm'!$K$12)))*3.6)</f>
        <v>34.099999999999994</v>
      </c>
      <c r="H33" s="24">
        <f t="shared" si="7"/>
        <v>5.1625000000000005</v>
      </c>
      <c r="I33" s="28"/>
      <c r="K33" s="33">
        <f t="shared" si="2"/>
        <v>5.1625000000000005</v>
      </c>
      <c r="L33" s="33">
        <f>IF('Eingabe - Diagramm'!$K$12&gt;=E33,E33*(G33/3.6)+H$6,(G33/3.6+G32/3.6)/2*(E33-E32)+H32)</f>
        <v>5.1625000000000005</v>
      </c>
      <c r="N33">
        <f t="shared" si="8"/>
        <v>33</v>
      </c>
      <c r="O33" s="158" t="b">
        <f t="shared" si="3"/>
        <v>0</v>
      </c>
      <c r="P33" s="77" t="b">
        <f t="shared" si="9"/>
        <v>0</v>
      </c>
      <c r="Q33" s="77">
        <f t="shared" si="4"/>
      </c>
      <c r="R33" s="158" t="b">
        <f t="shared" si="10"/>
        <v>0</v>
      </c>
      <c r="S33" s="159">
        <f t="shared" si="5"/>
      </c>
      <c r="T33" s="119"/>
      <c r="U33" s="119">
        <f t="shared" si="0"/>
      </c>
      <c r="V33">
        <f t="shared" si="11"/>
      </c>
    </row>
    <row r="34" spans="1:22" ht="15">
      <c r="A34" s="1"/>
      <c r="B34" s="23">
        <f>IF(((B$6/3.6)-('Dropdown-Daten'!$O$55*E34))*3.6&gt;0,((B$6/3.6)-('Dropdown-Daten'!$O$55*E34))*3.6,0)</f>
        <v>4.399999999999998</v>
      </c>
      <c r="C34" s="24">
        <f>IF(B34=0,C33,(E34/2*(B34/3.6+'Dropdown-Daten'!$H$50/3.6)))</f>
        <v>32.822222222222216</v>
      </c>
      <c r="D34" s="25"/>
      <c r="E34" s="23">
        <v>2.8</v>
      </c>
      <c r="F34" s="26">
        <f t="shared" si="6"/>
        <v>26.749999999999996</v>
      </c>
      <c r="G34" s="27">
        <f>IF('Eingabe - Diagramm'!$K$12&gt;=E34,'Dropdown-Daten'!$H$50,(('Dropdown-Daten'!$H$50/3.6)-('Dropdown-Daten'!$O$66*(E34-'Eingabe - Diagramm'!$K$12)))*3.6)</f>
        <v>31.400000000000006</v>
      </c>
      <c r="H34" s="24">
        <f t="shared" si="7"/>
        <v>6.072222222222219</v>
      </c>
      <c r="I34" s="28"/>
      <c r="K34" s="33">
        <f t="shared" si="2"/>
        <v>6.072222222222219</v>
      </c>
      <c r="L34" s="33">
        <f>IF('Eingabe - Diagramm'!$K$12&gt;=E34,E34*(G34/3.6)+H$6,(G34/3.6+G33/3.6)/2*(E34-E33)+H33)</f>
        <v>6.072222222222219</v>
      </c>
      <c r="N34">
        <f t="shared" si="8"/>
        <v>34</v>
      </c>
      <c r="O34" s="158" t="b">
        <f t="shared" si="3"/>
        <v>0</v>
      </c>
      <c r="P34" s="77" t="b">
        <f t="shared" si="9"/>
        <v>0</v>
      </c>
      <c r="Q34" s="77">
        <f t="shared" si="4"/>
      </c>
      <c r="R34" s="158" t="b">
        <f t="shared" si="10"/>
        <v>0</v>
      </c>
      <c r="S34" s="159">
        <f t="shared" si="5"/>
      </c>
      <c r="T34" s="119"/>
      <c r="U34" s="119">
        <f t="shared" si="0"/>
      </c>
      <c r="V34">
        <f t="shared" si="11"/>
      </c>
    </row>
    <row r="35" spans="1:22" ht="15">
      <c r="A35" s="1"/>
      <c r="B35" s="23">
        <f>IF(((B$6/3.6)-('Dropdown-Daten'!$O$55*E35))*3.6&gt;0,((B$6/3.6)-('Dropdown-Daten'!$O$55*E35))*3.6,0)</f>
        <v>1.6999999999999973</v>
      </c>
      <c r="C35" s="24">
        <f>IF(B35=0,C34,(E35/2*(B35/3.6+'Dropdown-Daten'!$H$50/3.6)))</f>
        <v>32.90694444444444</v>
      </c>
      <c r="D35" s="25"/>
      <c r="E35" s="23">
        <v>2.9</v>
      </c>
      <c r="F35" s="26">
        <f t="shared" si="6"/>
        <v>26</v>
      </c>
      <c r="G35" s="27">
        <f>IF('Eingabe - Diagramm'!$K$12&gt;=E35,'Dropdown-Daten'!$H$50,(('Dropdown-Daten'!$H$50/3.6)-('Dropdown-Daten'!$O$66*(E35-'Eingabe - Diagramm'!$K$12)))*3.6)</f>
        <v>28.7</v>
      </c>
      <c r="H35" s="24">
        <f t="shared" si="7"/>
        <v>6.906944444444442</v>
      </c>
      <c r="I35" s="28"/>
      <c r="K35" s="33">
        <f t="shared" si="2"/>
        <v>6.906944444444442</v>
      </c>
      <c r="L35" s="33">
        <f>IF('Eingabe - Diagramm'!$K$12&gt;=E35,E35*(G35/3.6)+H$6,(G35/3.6+G34/3.6)/2*(E35-E34)+H34)</f>
        <v>6.906944444444442</v>
      </c>
      <c r="N35">
        <f t="shared" si="8"/>
        <v>35</v>
      </c>
      <c r="O35" s="158" t="b">
        <f t="shared" si="3"/>
        <v>0</v>
      </c>
      <c r="P35" s="77" t="b">
        <f t="shared" si="9"/>
        <v>0</v>
      </c>
      <c r="Q35" s="77">
        <f t="shared" si="4"/>
      </c>
      <c r="R35" s="158" t="b">
        <f>AND(O35=TRUE,O34=FALSE)</f>
        <v>0</v>
      </c>
      <c r="S35" s="159">
        <f t="shared" si="5"/>
      </c>
      <c r="T35" s="119"/>
      <c r="U35" s="119">
        <f t="shared" si="0"/>
      </c>
      <c r="V35">
        <f t="shared" si="11"/>
      </c>
    </row>
    <row r="36" spans="2:22" ht="15">
      <c r="B36" s="23">
        <f>IF(((B$6/3.6)-('Dropdown-Daten'!$O$55*E36))*3.6&gt;0,((B$6/3.6)-('Dropdown-Daten'!$O$55*E36))*3.6,0)</f>
        <v>0</v>
      </c>
      <c r="C36" s="24">
        <f>IF(B36=0,C35,(E36/2*(B36/3.6+'Dropdown-Daten'!$H$50/3.6)))</f>
        <v>32.90694444444444</v>
      </c>
      <c r="D36" s="25"/>
      <c r="E36" s="23">
        <v>3</v>
      </c>
      <c r="F36" s="26">
        <f t="shared" si="6"/>
        <v>25.240277777777777</v>
      </c>
      <c r="G36" s="27">
        <f>IF('Eingabe - Diagramm'!$K$12&gt;=E36,'Dropdown-Daten'!$H$50,(('Dropdown-Daten'!$H$50/3.6)-('Dropdown-Daten'!$O$66*(E36-'Eingabe - Diagramm'!$K$12)))*3.6)</f>
        <v>25.999999999999996</v>
      </c>
      <c r="H36" s="24">
        <f t="shared" si="7"/>
        <v>7.666666666666665</v>
      </c>
      <c r="I36" s="28"/>
      <c r="K36" s="33">
        <f t="shared" si="2"/>
        <v>7.666666666666665</v>
      </c>
      <c r="L36" s="33">
        <f>IF('Eingabe - Diagramm'!$K$12&gt;=E36,E36*(G36/3.6)+H$6,(G36/3.6+G35/3.6)/2*(E36-E35)+H35)</f>
        <v>7.666666666666665</v>
      </c>
      <c r="N36">
        <f t="shared" si="8"/>
        <v>36</v>
      </c>
      <c r="O36" s="158" t="b">
        <f t="shared" si="3"/>
        <v>0</v>
      </c>
      <c r="P36" s="77" t="b">
        <f t="shared" si="9"/>
        <v>0</v>
      </c>
      <c r="Q36" s="77">
        <f t="shared" si="4"/>
      </c>
      <c r="R36" s="158" t="b">
        <f t="shared" si="10"/>
        <v>0</v>
      </c>
      <c r="S36" s="159">
        <f t="shared" si="5"/>
      </c>
      <c r="T36" s="119"/>
      <c r="U36" s="119">
        <f t="shared" si="0"/>
      </c>
      <c r="V36">
        <f t="shared" si="11"/>
      </c>
    </row>
    <row r="37" spans="2:22" ht="15">
      <c r="B37" s="23">
        <f>IF(((B$6/3.6)-('Dropdown-Daten'!$O$55*E37))*3.6&gt;0,((B$6/3.6)-('Dropdown-Daten'!$O$55*E37))*3.6,0)</f>
        <v>0</v>
      </c>
      <c r="C37" s="24">
        <f>IF(B37=0,C36,(E37/2*(B37/3.6+'Dropdown-Daten'!$H$50/3.6)))</f>
        <v>32.90694444444444</v>
      </c>
      <c r="D37" s="25"/>
      <c r="E37" s="23">
        <v>3.1</v>
      </c>
      <c r="F37" s="26">
        <f>C37-H37</f>
        <v>24.555555555555554</v>
      </c>
      <c r="G37" s="27">
        <f>IF('Eingabe - Diagramm'!$K$12&gt;=E37,'Dropdown-Daten'!$H$50,(('Dropdown-Daten'!$H$50/3.6)-('Dropdown-Daten'!$O$66*(E37-'Eingabe - Diagramm'!$K$12)))*3.6)</f>
        <v>23.299999999999997</v>
      </c>
      <c r="H37" s="24">
        <f t="shared" si="7"/>
        <v>8.351388888888888</v>
      </c>
      <c r="I37" s="28"/>
      <c r="K37" s="33">
        <f t="shared" si="2"/>
        <v>8.351388888888888</v>
      </c>
      <c r="L37" s="33">
        <f>IF('Eingabe - Diagramm'!$K$12&gt;=E37,E37*(G37/3.6)+H$6,(G37/3.6+G36/3.6)/2*(E37-E36)+H36)</f>
        <v>8.351388888888888</v>
      </c>
      <c r="N37">
        <f t="shared" si="8"/>
        <v>37</v>
      </c>
      <c r="O37" s="158" t="b">
        <f t="shared" si="3"/>
        <v>0</v>
      </c>
      <c r="P37" s="77" t="b">
        <f>AND(O37=TRUE,O36=FALSE)</f>
        <v>0</v>
      </c>
      <c r="Q37" s="77">
        <f t="shared" si="4"/>
      </c>
      <c r="R37" s="158" t="b">
        <f t="shared" si="10"/>
        <v>0</v>
      </c>
      <c r="S37" s="159">
        <f t="shared" si="5"/>
      </c>
      <c r="T37" s="119"/>
      <c r="U37" s="119">
        <f t="shared" si="0"/>
      </c>
      <c r="V37">
        <f t="shared" si="11"/>
      </c>
    </row>
    <row r="38" spans="2:22" ht="15">
      <c r="B38" s="23">
        <f>IF(((B$6/3.6)-('Dropdown-Daten'!$O$55*E38))*3.6&gt;0,((B$6/3.6)-('Dropdown-Daten'!$O$55*E38))*3.6,0)</f>
        <v>0</v>
      </c>
      <c r="C38" s="24">
        <f>IF(B38=0,C37,(E38/2*(B38/3.6+'Dropdown-Daten'!$H$50/3.6)))</f>
        <v>32.90694444444444</v>
      </c>
      <c r="D38" s="25"/>
      <c r="E38" s="23">
        <v>3.2</v>
      </c>
      <c r="F38" s="26">
        <f t="shared" si="6"/>
        <v>23.945833333333333</v>
      </c>
      <c r="G38" s="27">
        <f>IF('Eingabe - Diagramm'!$K$12&gt;=E38,'Dropdown-Daten'!$H$50,(('Dropdown-Daten'!$H$50/3.6)-('Dropdown-Daten'!$O$66*(E38-'Eingabe - Diagramm'!$K$12)))*3.6)</f>
        <v>20.599999999999998</v>
      </c>
      <c r="H38" s="24">
        <f t="shared" si="7"/>
        <v>8.96111111111111</v>
      </c>
      <c r="I38" s="28"/>
      <c r="K38" s="33">
        <f aca="true" t="shared" si="12" ref="K38:K69">IF(G38&gt;0,H38,K37)</f>
        <v>8.96111111111111</v>
      </c>
      <c r="L38" s="33">
        <f>IF('Eingabe - Diagramm'!$K$12&gt;=E38,E38*(G38/3.6)+H$6,(G38/3.6+G37/3.6)/2*(E38-E37)+H37)</f>
        <v>8.96111111111111</v>
      </c>
      <c r="N38">
        <f t="shared" si="8"/>
        <v>38</v>
      </c>
      <c r="O38" s="158" t="b">
        <f t="shared" si="3"/>
        <v>0</v>
      </c>
      <c r="P38" s="77" t="b">
        <f t="shared" si="9"/>
        <v>0</v>
      </c>
      <c r="Q38" s="77">
        <f t="shared" si="4"/>
      </c>
      <c r="R38" s="158" t="b">
        <f t="shared" si="10"/>
        <v>0</v>
      </c>
      <c r="S38" s="159">
        <f t="shared" si="5"/>
      </c>
      <c r="T38" s="119"/>
      <c r="U38" s="119">
        <f t="shared" si="0"/>
      </c>
      <c r="V38">
        <f t="shared" si="11"/>
      </c>
    </row>
    <row r="39" spans="2:22" ht="15">
      <c r="B39" s="23">
        <f>IF(((B$6/3.6)-('Dropdown-Daten'!$O$55*E39))*3.6&gt;0,((B$6/3.6)-('Dropdown-Daten'!$O$55*E39))*3.6,0)</f>
        <v>0</v>
      </c>
      <c r="C39" s="24">
        <f>IF(B39=0,C38,(E39/2*(B39/3.6+'Dropdown-Daten'!$H$50/3.6)))</f>
        <v>32.90694444444444</v>
      </c>
      <c r="D39" s="25"/>
      <c r="E39" s="23">
        <v>3.3</v>
      </c>
      <c r="F39" s="26">
        <f t="shared" si="6"/>
        <v>23.41111111111111</v>
      </c>
      <c r="G39" s="27">
        <f>IF('Eingabe - Diagramm'!$K$12&gt;=E39,'Dropdown-Daten'!$H$50,(('Dropdown-Daten'!$H$50/3.6)-('Dropdown-Daten'!$O$66*(E39-'Eingabe - Diagramm'!$K$12)))*3.6)</f>
        <v>17.9</v>
      </c>
      <c r="H39" s="24">
        <f t="shared" si="7"/>
        <v>9.49583333333333</v>
      </c>
      <c r="I39" s="28"/>
      <c r="K39" s="77">
        <f t="shared" si="12"/>
        <v>9.49583333333333</v>
      </c>
      <c r="L39" s="33">
        <f>IF('Eingabe - Diagramm'!$K$12&gt;=E39,E39*(G39/3.6)+H$6,(G39/3.6+G38/3.6)/2*(E39-E38)+H38)</f>
        <v>9.49583333333333</v>
      </c>
      <c r="M39" s="119"/>
      <c r="N39">
        <f t="shared" si="8"/>
        <v>39</v>
      </c>
      <c r="O39" s="158" t="b">
        <f t="shared" si="3"/>
        <v>0</v>
      </c>
      <c r="P39" s="77" t="b">
        <f t="shared" si="9"/>
        <v>0</v>
      </c>
      <c r="Q39" s="77">
        <f t="shared" si="4"/>
      </c>
      <c r="R39" s="158" t="b">
        <f t="shared" si="10"/>
        <v>0</v>
      </c>
      <c r="S39" s="159">
        <f t="shared" si="5"/>
      </c>
      <c r="T39" s="119"/>
      <c r="U39" s="119">
        <f t="shared" si="0"/>
      </c>
      <c r="V39">
        <f t="shared" si="11"/>
      </c>
    </row>
    <row r="40" spans="2:22" ht="15">
      <c r="B40" s="23">
        <f>IF(((B$6/3.6)-('Dropdown-Daten'!$O$55*E40))*3.6&gt;0,((B$6/3.6)-('Dropdown-Daten'!$O$55*E40))*3.6,0)</f>
        <v>0</v>
      </c>
      <c r="C40" s="24">
        <f>IF(B40=0,C39,(E40/2*(B40/3.6+'Dropdown-Daten'!$H$50/3.6)))</f>
        <v>32.90694444444444</v>
      </c>
      <c r="D40" s="25"/>
      <c r="E40" s="23">
        <v>3.4</v>
      </c>
      <c r="F40" s="26">
        <f t="shared" si="6"/>
        <v>22.95138888888889</v>
      </c>
      <c r="G40" s="27">
        <f>IF('Eingabe - Diagramm'!$K$12&gt;=E40,'Dropdown-Daten'!$H$50,(('Dropdown-Daten'!$H$50/3.6)-('Dropdown-Daten'!$O$66*(E40-'Eingabe - Diagramm'!$K$12)))*3.6)</f>
        <v>15.199999999999998</v>
      </c>
      <c r="H40" s="24">
        <f t="shared" si="7"/>
        <v>9.955555555555552</v>
      </c>
      <c r="I40" s="28"/>
      <c r="K40" s="77">
        <f t="shared" si="12"/>
        <v>9.955555555555552</v>
      </c>
      <c r="L40" s="33">
        <f>IF('Eingabe - Diagramm'!$K$12&gt;=E40,E40*(G40/3.6)+H$6,(G40/3.6+G39/3.6)/2*(E40-E39)+H39)</f>
        <v>9.955555555555552</v>
      </c>
      <c r="M40" s="119"/>
      <c r="N40">
        <f t="shared" si="8"/>
        <v>40</v>
      </c>
      <c r="O40" s="158" t="b">
        <f t="shared" si="3"/>
        <v>0</v>
      </c>
      <c r="P40" s="77" t="b">
        <f t="shared" si="9"/>
        <v>0</v>
      </c>
      <c r="Q40" s="77">
        <f t="shared" si="4"/>
      </c>
      <c r="R40" s="158" t="b">
        <f t="shared" si="10"/>
        <v>0</v>
      </c>
      <c r="S40" s="159">
        <f t="shared" si="5"/>
      </c>
      <c r="T40" s="119"/>
      <c r="U40" s="119">
        <f t="shared" si="0"/>
      </c>
      <c r="V40">
        <f t="shared" si="11"/>
      </c>
    </row>
    <row r="41" spans="2:22" ht="15">
      <c r="B41" s="23">
        <f>IF(((B$6/3.6)-('Dropdown-Daten'!$O$55*E41))*3.6&gt;0,((B$6/3.6)-('Dropdown-Daten'!$O$55*E41))*3.6,0)</f>
        <v>0</v>
      </c>
      <c r="C41" s="24">
        <f>IF(B41=0,C40,(E41/2*(B41/3.6+'Dropdown-Daten'!$H$50/3.6)))</f>
        <v>32.90694444444444</v>
      </c>
      <c r="D41" s="25"/>
      <c r="E41" s="23">
        <v>3.5</v>
      </c>
      <c r="F41" s="26">
        <f t="shared" si="6"/>
        <v>22.566666666666666</v>
      </c>
      <c r="G41" s="27">
        <f>IF('Eingabe - Diagramm'!$K$12&gt;=E41,'Dropdown-Daten'!$H$50,(('Dropdown-Daten'!$H$50/3.6)-('Dropdown-Daten'!$O$66*(E41-'Eingabe - Diagramm'!$K$12)))*3.6)</f>
        <v>12.499999999999998</v>
      </c>
      <c r="H41" s="24">
        <f t="shared" si="7"/>
        <v>10.340277777777775</v>
      </c>
      <c r="I41" s="28"/>
      <c r="K41" s="77">
        <f t="shared" si="12"/>
        <v>10.340277777777775</v>
      </c>
      <c r="L41" s="33">
        <f>IF('Eingabe - Diagramm'!$K$12&gt;=E41,E41*(G41/3.6)+H$6,(G41/3.6+G40/3.6)/2*(E41-E40)+H40)</f>
        <v>10.340277777777775</v>
      </c>
      <c r="M41" s="119"/>
      <c r="N41">
        <f t="shared" si="8"/>
        <v>41</v>
      </c>
      <c r="O41" s="158" t="b">
        <f t="shared" si="3"/>
        <v>0</v>
      </c>
      <c r="P41" s="77" t="b">
        <f t="shared" si="9"/>
        <v>0</v>
      </c>
      <c r="Q41" s="77">
        <f t="shared" si="4"/>
      </c>
      <c r="R41" s="158" t="b">
        <f t="shared" si="10"/>
        <v>0</v>
      </c>
      <c r="S41" s="159">
        <f t="shared" si="5"/>
      </c>
      <c r="T41" s="119"/>
      <c r="U41" s="119">
        <f t="shared" si="0"/>
      </c>
      <c r="V41">
        <f t="shared" si="11"/>
      </c>
    </row>
    <row r="42" spans="2:22" ht="15">
      <c r="B42" s="23">
        <f>IF(((B$6/3.6)-('Dropdown-Daten'!$O$55*E42))*3.6&gt;0,((B$6/3.6)-('Dropdown-Daten'!$O$55*E42))*3.6,0)</f>
        <v>0</v>
      </c>
      <c r="C42" s="24">
        <f>IF(B42=0,C41,(E42/2*(B42/3.6+'Dropdown-Daten'!$H$50/3.6)))</f>
        <v>32.90694444444444</v>
      </c>
      <c r="D42" s="25"/>
      <c r="E42" s="23">
        <v>3.6</v>
      </c>
      <c r="F42" s="26">
        <f t="shared" si="6"/>
        <v>22.256944444444443</v>
      </c>
      <c r="G42" s="27">
        <f>IF('Eingabe - Diagramm'!$K$12&gt;=E42,'Dropdown-Daten'!$H$50,(('Dropdown-Daten'!$H$50/3.6)-('Dropdown-Daten'!$O$66*(E42-'Eingabe - Diagramm'!$K$12)))*3.6)</f>
        <v>9.799999999999997</v>
      </c>
      <c r="H42" s="24">
        <f t="shared" si="7"/>
        <v>10.649999999999997</v>
      </c>
      <c r="I42" s="28"/>
      <c r="K42" s="77">
        <f t="shared" si="12"/>
        <v>10.649999999999997</v>
      </c>
      <c r="L42" s="33">
        <f>IF('Eingabe - Diagramm'!$K$12&gt;=E42,E42*(G42/3.6)+H$6,(G42/3.6+G41/3.6)/2*(E42-E41)+H41)</f>
        <v>10.649999999999997</v>
      </c>
      <c r="M42" s="119"/>
      <c r="N42">
        <f t="shared" si="8"/>
        <v>42</v>
      </c>
      <c r="O42" s="158" t="b">
        <f t="shared" si="3"/>
        <v>0</v>
      </c>
      <c r="P42" s="77" t="b">
        <f t="shared" si="9"/>
        <v>0</v>
      </c>
      <c r="Q42" s="77">
        <f t="shared" si="4"/>
      </c>
      <c r="R42" s="158" t="b">
        <f t="shared" si="10"/>
        <v>0</v>
      </c>
      <c r="S42" s="159">
        <f t="shared" si="5"/>
      </c>
      <c r="T42" s="119"/>
      <c r="U42" s="119">
        <f t="shared" si="0"/>
      </c>
      <c r="V42">
        <f t="shared" si="11"/>
      </c>
    </row>
    <row r="43" spans="2:22" ht="15">
      <c r="B43" s="23">
        <f>IF(((B$6/3.6)-('Dropdown-Daten'!$O$55*E43))*3.6&gt;0,((B$6/3.6)-('Dropdown-Daten'!$O$55*E43))*3.6,0)</f>
        <v>0</v>
      </c>
      <c r="C43" s="24">
        <f>IF(B43=0,C42,(E43/2*(B43/3.6+'Dropdown-Daten'!$H$50/3.6)))</f>
        <v>32.90694444444444</v>
      </c>
      <c r="D43" s="25"/>
      <c r="E43" s="23">
        <v>3.7</v>
      </c>
      <c r="F43" s="26">
        <f t="shared" si="6"/>
        <v>22.022222222222222</v>
      </c>
      <c r="G43" s="27">
        <f>IF('Eingabe - Diagramm'!$K$12&gt;=E43,'Dropdown-Daten'!$H$50,(('Dropdown-Daten'!$H$50/3.6)-('Dropdown-Daten'!$O$66*(E43-'Eingabe - Diagramm'!$K$12)))*3.6)</f>
        <v>7.099999999999997</v>
      </c>
      <c r="H43" s="24">
        <f t="shared" si="7"/>
        <v>10.88472222222222</v>
      </c>
      <c r="I43" s="28"/>
      <c r="K43" s="77">
        <f t="shared" si="12"/>
        <v>10.88472222222222</v>
      </c>
      <c r="L43" s="33">
        <f>IF('Eingabe - Diagramm'!$K$12&gt;=E43,E43*(G43/3.6)+H$6,(G43/3.6+G42/3.6)/2*(E43-E42)+H42)</f>
        <v>10.88472222222222</v>
      </c>
      <c r="M43" s="119"/>
      <c r="N43">
        <f t="shared" si="8"/>
        <v>43</v>
      </c>
      <c r="O43" s="158" t="b">
        <f t="shared" si="3"/>
        <v>0</v>
      </c>
      <c r="P43" s="77" t="b">
        <f t="shared" si="9"/>
        <v>0</v>
      </c>
      <c r="Q43" s="77">
        <f t="shared" si="4"/>
      </c>
      <c r="R43" s="158" t="b">
        <f t="shared" si="10"/>
        <v>0</v>
      </c>
      <c r="S43" s="159">
        <f t="shared" si="5"/>
      </c>
      <c r="T43" s="119"/>
      <c r="U43" s="119">
        <f t="shared" si="0"/>
      </c>
      <c r="V43">
        <f t="shared" si="11"/>
      </c>
    </row>
    <row r="44" spans="2:22" ht="15">
      <c r="B44" s="23">
        <f>IF(((B$6/3.6)-('Dropdown-Daten'!$O$55*E44))*3.6&gt;0,((B$6/3.6)-('Dropdown-Daten'!$O$55*E44))*3.6,0)</f>
        <v>0</v>
      </c>
      <c r="C44" s="24">
        <f>IF(B44=0,C43,(E44/2*(B44/3.6+'Dropdown-Daten'!$H$50/3.6)))</f>
        <v>32.90694444444444</v>
      </c>
      <c r="D44" s="25"/>
      <c r="E44" s="23">
        <v>3.8</v>
      </c>
      <c r="F44" s="26">
        <f t="shared" si="6"/>
        <v>21.8625</v>
      </c>
      <c r="G44" s="27">
        <f>IF('Eingabe - Diagramm'!$K$12&gt;=E44,'Dropdown-Daten'!$H$50,(('Dropdown-Daten'!$H$50/3.6)-('Dropdown-Daten'!$O$66*(E44-'Eingabe - Diagramm'!$K$12)))*3.6)</f>
        <v>4.399999999999998</v>
      </c>
      <c r="H44" s="24">
        <f t="shared" si="7"/>
        <v>11.04444444444444</v>
      </c>
      <c r="I44" s="28"/>
      <c r="K44" s="77">
        <f t="shared" si="12"/>
        <v>11.04444444444444</v>
      </c>
      <c r="L44" s="33">
        <f>IF('Eingabe - Diagramm'!$K$12&gt;=E44,E44*(G44/3.6)+H$6,(G44/3.6+G43/3.6)/2*(E44-E43)+H43)</f>
        <v>11.04444444444444</v>
      </c>
      <c r="M44" s="119"/>
      <c r="N44">
        <f t="shared" si="8"/>
        <v>44</v>
      </c>
      <c r="O44" s="158" t="b">
        <f t="shared" si="3"/>
        <v>0</v>
      </c>
      <c r="P44" s="77" t="b">
        <f t="shared" si="9"/>
        <v>0</v>
      </c>
      <c r="Q44" s="77">
        <f t="shared" si="4"/>
      </c>
      <c r="R44" s="158" t="b">
        <f t="shared" si="10"/>
        <v>0</v>
      </c>
      <c r="S44" s="159">
        <f t="shared" si="5"/>
      </c>
      <c r="T44" s="119"/>
      <c r="U44" s="119">
        <f t="shared" si="0"/>
      </c>
      <c r="V44">
        <f t="shared" si="11"/>
      </c>
    </row>
    <row r="45" spans="2:22" ht="15">
      <c r="B45" s="23">
        <f>IF(((B$6/3.6)-('Dropdown-Daten'!$O$55*E45))*3.6&gt;0,((B$6/3.6)-('Dropdown-Daten'!$O$55*E45))*3.6,0)</f>
        <v>0</v>
      </c>
      <c r="C45" s="24">
        <f>IF(B45=0,C44,(E45/2*(B45/3.6+'Dropdown-Daten'!$H$50/3.6)))</f>
        <v>32.90694444444444</v>
      </c>
      <c r="D45" s="25"/>
      <c r="E45" s="23">
        <v>3.9</v>
      </c>
      <c r="F45" s="26">
        <f t="shared" si="6"/>
        <v>21.77777777777778</v>
      </c>
      <c r="G45" s="27">
        <f>IF('Eingabe - Diagramm'!$K$12&gt;=E45,'Dropdown-Daten'!$H$50,(('Dropdown-Daten'!$H$50/3.6)-('Dropdown-Daten'!$O$66*(E45-'Eingabe - Diagramm'!$K$12)))*3.6)</f>
        <v>1.6999999999999973</v>
      </c>
      <c r="H45" s="24">
        <f t="shared" si="7"/>
        <v>11.129166666666663</v>
      </c>
      <c r="I45" s="28"/>
      <c r="K45" s="77">
        <f t="shared" si="12"/>
        <v>11.129166666666663</v>
      </c>
      <c r="L45" s="33">
        <f>IF('Eingabe - Diagramm'!$K$12&gt;=E45,E45*(G45/3.6)+H$6,(G45/3.6+G44/3.6)/2*(E45-E44)+H44)</f>
        <v>11.129166666666663</v>
      </c>
      <c r="M45" s="119"/>
      <c r="N45">
        <f t="shared" si="8"/>
        <v>45</v>
      </c>
      <c r="O45" s="158" t="b">
        <f t="shared" si="3"/>
        <v>0</v>
      </c>
      <c r="P45" s="77" t="b">
        <f t="shared" si="9"/>
        <v>0</v>
      </c>
      <c r="Q45" s="77">
        <f t="shared" si="4"/>
      </c>
      <c r="R45" s="158" t="b">
        <f t="shared" si="10"/>
        <v>0</v>
      </c>
      <c r="S45" s="159">
        <f t="shared" si="5"/>
      </c>
      <c r="T45" s="119"/>
      <c r="U45" s="119">
        <f t="shared" si="0"/>
      </c>
      <c r="V45">
        <f t="shared" si="11"/>
      </c>
    </row>
    <row r="46" spans="2:22" ht="15">
      <c r="B46" s="23">
        <f>IF(((B$6/3.6)-('Dropdown-Daten'!$O$55*E46))*3.6&gt;0,((B$6/3.6)-('Dropdown-Daten'!$O$55*E46))*3.6,0)</f>
        <v>0</v>
      </c>
      <c r="C46" s="24">
        <f>IF(B46=0,C45,(E46/2*(B46/3.6+'Dropdown-Daten'!$H$50/3.6)))</f>
        <v>32.90694444444444</v>
      </c>
      <c r="D46" s="25"/>
      <c r="E46" s="23">
        <v>4</v>
      </c>
      <c r="F46" s="26">
        <f t="shared" si="6"/>
        <v>21.77777777777778</v>
      </c>
      <c r="G46" s="27">
        <f>IF('Eingabe - Diagramm'!$K$12&gt;=E46,'Dropdown-Daten'!$H$50,(('Dropdown-Daten'!$H$50/3.6)-('Dropdown-Daten'!$O$66*(E46-'Eingabe - Diagramm'!$K$12)))*3.6)</f>
        <v>-1.0000000000000029</v>
      </c>
      <c r="H46" s="24">
        <f t="shared" si="7"/>
        <v>11.129166666666663</v>
      </c>
      <c r="I46" s="28"/>
      <c r="K46" s="77">
        <f>IF(G46&gt;0,H46,K45)</f>
        <v>11.129166666666663</v>
      </c>
      <c r="L46" s="33">
        <f>IF('Eingabe - Diagramm'!$K$12&gt;=E46,E46*(G46/3.6)+H$6,(G46/3.6+G45/3.6)/2*(E46-E45)+H45)</f>
        <v>11.138888888888886</v>
      </c>
      <c r="M46" s="119"/>
      <c r="N46">
        <f t="shared" si="8"/>
        <v>46</v>
      </c>
      <c r="O46" s="158" t="b">
        <f t="shared" si="3"/>
        <v>0</v>
      </c>
      <c r="P46" s="77" t="b">
        <f t="shared" si="9"/>
        <v>0</v>
      </c>
      <c r="Q46" s="77">
        <f t="shared" si="4"/>
      </c>
      <c r="R46" s="158" t="b">
        <f>AND(O46=TRUE,O45=FALSE)</f>
        <v>0</v>
      </c>
      <c r="S46" s="159">
        <f t="shared" si="5"/>
      </c>
      <c r="T46" s="119"/>
      <c r="U46" s="119">
        <f t="shared" si="0"/>
      </c>
      <c r="V46">
        <f t="shared" si="11"/>
      </c>
    </row>
    <row r="47" spans="2:22" ht="15">
      <c r="B47" s="23">
        <f>IF(((B$6/3.6)-('Dropdown-Daten'!$O$55*E47))*3.6&gt;0,((B$6/3.6)-('Dropdown-Daten'!$O$55*E47))*3.6,0)</f>
        <v>0</v>
      </c>
      <c r="C47" s="24">
        <f>IF(B47=0,C46,(E47/2*(B47/3.6+'Dropdown-Daten'!$H$50/3.6)))</f>
        <v>32.90694444444444</v>
      </c>
      <c r="D47" s="25"/>
      <c r="E47" s="23">
        <v>4.1</v>
      </c>
      <c r="F47" s="26">
        <f t="shared" si="6"/>
        <v>21.77777777777778</v>
      </c>
      <c r="G47" s="27">
        <f>IF('Eingabe - Diagramm'!$K$12&gt;=E47,'Dropdown-Daten'!$H$50,(('Dropdown-Daten'!$H$50/3.6)-('Dropdown-Daten'!$O$66*(E47-'Eingabe - Diagramm'!$K$12)))*3.6)</f>
        <v>-3.69999999999999</v>
      </c>
      <c r="H47" s="24">
        <f t="shared" si="7"/>
        <v>11.129166666666663</v>
      </c>
      <c r="I47" s="28"/>
      <c r="K47" s="77">
        <f t="shared" si="12"/>
        <v>11.129166666666663</v>
      </c>
      <c r="L47" s="33">
        <f>IF('Eingabe - Diagramm'!$K$12&gt;=E47,E47*(G47/3.6)+H$6,(G47/3.6+G46/3.6)/2*(E47-E46)+H46)</f>
        <v>11.063888888888885</v>
      </c>
      <c r="M47" s="119"/>
      <c r="N47">
        <f t="shared" si="8"/>
        <v>47</v>
      </c>
      <c r="O47" s="158" t="b">
        <f t="shared" si="3"/>
        <v>0</v>
      </c>
      <c r="P47" s="77" t="b">
        <f t="shared" si="9"/>
        <v>0</v>
      </c>
      <c r="Q47" s="77">
        <f t="shared" si="4"/>
      </c>
      <c r="R47" s="158" t="b">
        <f t="shared" si="10"/>
        <v>0</v>
      </c>
      <c r="S47" s="159">
        <f t="shared" si="5"/>
      </c>
      <c r="T47" s="119"/>
      <c r="U47" s="119">
        <f t="shared" si="0"/>
      </c>
      <c r="V47">
        <f t="shared" si="11"/>
      </c>
    </row>
    <row r="48" spans="2:22" ht="15">
      <c r="B48" s="23">
        <f>IF(((B$6/3.6)-('Dropdown-Daten'!$O$55*E48))*3.6&gt;0,((B$6/3.6)-('Dropdown-Daten'!$O$55*E48))*3.6,0)</f>
        <v>0</v>
      </c>
      <c r="C48" s="24">
        <f>IF(B48=0,C47,(E48/2*(B48/3.6+'Dropdown-Daten'!$H$50/3.6)))</f>
        <v>32.90694444444444</v>
      </c>
      <c r="D48" s="25"/>
      <c r="E48" s="23">
        <v>4.2</v>
      </c>
      <c r="F48" s="26">
        <f t="shared" si="6"/>
        <v>21.77777777777778</v>
      </c>
      <c r="G48" s="27">
        <f>IF('Eingabe - Diagramm'!$K$12&gt;=E48,'Dropdown-Daten'!$H$50,(('Dropdown-Daten'!$H$50/3.6)-('Dropdown-Daten'!$O$66*(E48-'Eingabe - Diagramm'!$K$12)))*3.6)</f>
        <v>-6.400000000000003</v>
      </c>
      <c r="H48" s="24">
        <f t="shared" si="7"/>
        <v>11.129166666666663</v>
      </c>
      <c r="I48" s="28"/>
      <c r="K48" s="77">
        <f t="shared" si="12"/>
        <v>11.129166666666663</v>
      </c>
      <c r="L48" s="33">
        <f>IF('Eingabe - Diagramm'!$K$12&gt;=E48,E48*(G48/3.6)+H$6,(G48/3.6+G47/3.6)/2*(E48-E47)+H47)</f>
        <v>10.988888888888884</v>
      </c>
      <c r="M48" s="119"/>
      <c r="N48">
        <f t="shared" si="8"/>
        <v>48</v>
      </c>
      <c r="O48" s="158" t="b">
        <f t="shared" si="3"/>
        <v>0</v>
      </c>
      <c r="P48" s="77" t="b">
        <f t="shared" si="9"/>
        <v>0</v>
      </c>
      <c r="Q48" s="77">
        <f t="shared" si="4"/>
      </c>
      <c r="R48" s="158" t="b">
        <f t="shared" si="10"/>
        <v>0</v>
      </c>
      <c r="S48" s="159">
        <f t="shared" si="5"/>
      </c>
      <c r="T48" s="119"/>
      <c r="U48" s="119">
        <f t="shared" si="0"/>
      </c>
      <c r="V48">
        <f t="shared" si="11"/>
      </c>
    </row>
    <row r="49" spans="2:22" ht="15">
      <c r="B49" s="23">
        <f>IF(((B$6/3.6)-('Dropdown-Daten'!$O$55*E49))*3.6&gt;0,((B$6/3.6)-('Dropdown-Daten'!$O$55*E49))*3.6,0)</f>
        <v>0</v>
      </c>
      <c r="C49" s="24">
        <f>IF(B49=0,C48,(E49/2*(B49/3.6+'Dropdown-Daten'!$H$50/3.6)))</f>
        <v>32.90694444444444</v>
      </c>
      <c r="D49" s="25"/>
      <c r="E49" s="23">
        <v>4.3</v>
      </c>
      <c r="F49" s="26">
        <f t="shared" si="6"/>
        <v>21.77777777777778</v>
      </c>
      <c r="G49" s="27">
        <f>IF('Eingabe - Diagramm'!$K$12&gt;=E49,'Dropdown-Daten'!$H$50,(('Dropdown-Daten'!$H$50/3.6)-('Dropdown-Daten'!$O$66*(E49-'Eingabe - Diagramm'!$K$12)))*3.6)</f>
        <v>-9.100000000000003</v>
      </c>
      <c r="H49" s="24">
        <f t="shared" si="7"/>
        <v>11.129166666666663</v>
      </c>
      <c r="I49" s="28"/>
      <c r="K49" s="77">
        <f t="shared" si="12"/>
        <v>11.129166666666663</v>
      </c>
      <c r="L49" s="33">
        <f>IF('Eingabe - Diagramm'!$K$12&gt;=E49,E49*(G49/3.6)+H$6,(G49/3.6+G48/3.6)/2*(E49-E48)+H48)</f>
        <v>10.913888888888886</v>
      </c>
      <c r="M49" s="119"/>
      <c r="N49">
        <f t="shared" si="8"/>
        <v>49</v>
      </c>
      <c r="O49" s="158" t="b">
        <f t="shared" si="3"/>
        <v>0</v>
      </c>
      <c r="P49" s="77" t="b">
        <f>AND(O49=TRUE,O48=FALSE)</f>
        <v>0</v>
      </c>
      <c r="Q49" s="77">
        <f t="shared" si="4"/>
      </c>
      <c r="R49" s="158" t="b">
        <f t="shared" si="10"/>
        <v>0</v>
      </c>
      <c r="S49" s="159">
        <f t="shared" si="5"/>
      </c>
      <c r="T49" s="119"/>
      <c r="U49" s="119">
        <f t="shared" si="0"/>
      </c>
      <c r="V49">
        <f t="shared" si="11"/>
      </c>
    </row>
    <row r="50" spans="2:22" ht="15">
      <c r="B50" s="23">
        <f>IF(((B$6/3.6)-('Dropdown-Daten'!$O$55*E50))*3.6&gt;0,((B$6/3.6)-('Dropdown-Daten'!$O$55*E50))*3.6,0)</f>
        <v>0</v>
      </c>
      <c r="C50" s="24">
        <f>IF(B50=0,C49,(E50/2*(B50/3.6+'Dropdown-Daten'!$H$50/3.6)))</f>
        <v>32.90694444444444</v>
      </c>
      <c r="D50" s="25"/>
      <c r="E50" s="23">
        <v>4.4</v>
      </c>
      <c r="F50" s="26">
        <f t="shared" si="6"/>
        <v>21.77777777777778</v>
      </c>
      <c r="G50" s="27">
        <f>IF('Eingabe - Diagramm'!$K$12&gt;=E50,'Dropdown-Daten'!$H$50,(('Dropdown-Daten'!$H$50/3.6)-('Dropdown-Daten'!$O$66*(E50-'Eingabe - Diagramm'!$K$12)))*3.6)</f>
        <v>-11.800000000000017</v>
      </c>
      <c r="H50" s="24">
        <f t="shared" si="7"/>
        <v>11.129166666666663</v>
      </c>
      <c r="I50" s="28"/>
      <c r="K50" s="77">
        <f t="shared" si="12"/>
        <v>11.129166666666663</v>
      </c>
      <c r="L50" s="33">
        <f>IF('Eingabe - Diagramm'!$K$12&gt;=E50,E50*(G50/3.6)+H$6,(G50/3.6+G49/3.6)/2*(E50-E49)+H49)</f>
        <v>10.838888888888883</v>
      </c>
      <c r="M50" s="119"/>
      <c r="N50">
        <f t="shared" si="8"/>
        <v>50</v>
      </c>
      <c r="O50" s="158" t="b">
        <f t="shared" si="3"/>
        <v>0</v>
      </c>
      <c r="P50" s="77" t="b">
        <f t="shared" si="9"/>
        <v>0</v>
      </c>
      <c r="Q50" s="77">
        <f t="shared" si="4"/>
      </c>
      <c r="R50" s="158" t="b">
        <f t="shared" si="10"/>
        <v>0</v>
      </c>
      <c r="S50" s="159">
        <f t="shared" si="5"/>
      </c>
      <c r="T50" s="119"/>
      <c r="U50" s="119">
        <f t="shared" si="0"/>
      </c>
      <c r="V50">
        <f t="shared" si="11"/>
      </c>
    </row>
    <row r="51" spans="2:22" ht="15">
      <c r="B51" s="23">
        <f>IF(((B$6/3.6)-('Dropdown-Daten'!$O$55*E51))*3.6&gt;0,((B$6/3.6)-('Dropdown-Daten'!$O$55*E51))*3.6,0)</f>
        <v>0</v>
      </c>
      <c r="C51" s="24">
        <f>IF(B51=0,C50,(E51/2*(B51/3.6+'Dropdown-Daten'!$H$50/3.6)))</f>
        <v>32.90694444444444</v>
      </c>
      <c r="D51" s="25"/>
      <c r="E51" s="23">
        <v>4.5</v>
      </c>
      <c r="F51" s="26">
        <f t="shared" si="6"/>
        <v>21.77777777777778</v>
      </c>
      <c r="G51" s="27">
        <f>IF('Eingabe - Diagramm'!$K$12&gt;=E51,'Dropdown-Daten'!$H$50,(('Dropdown-Daten'!$H$50/3.6)-('Dropdown-Daten'!$O$66*(E51-'Eingabe - Diagramm'!$K$12)))*3.6)</f>
        <v>-14.500000000000004</v>
      </c>
      <c r="H51" s="24">
        <f t="shared" si="7"/>
        <v>11.129166666666663</v>
      </c>
      <c r="I51" s="28"/>
      <c r="K51" s="77">
        <f t="shared" si="12"/>
        <v>11.129166666666663</v>
      </c>
      <c r="L51" s="33">
        <f>IF('Eingabe - Diagramm'!$K$12&gt;=E51,E51*(G51/3.6)+H$6,(G51/3.6+G50/3.6)/2*(E51-E50)+H50)</f>
        <v>10.763888888888886</v>
      </c>
      <c r="M51" s="119"/>
      <c r="N51">
        <f t="shared" si="8"/>
        <v>51</v>
      </c>
      <c r="O51" s="158" t="b">
        <f t="shared" si="3"/>
        <v>0</v>
      </c>
      <c r="P51" s="77" t="b">
        <f t="shared" si="9"/>
        <v>0</v>
      </c>
      <c r="Q51" s="77">
        <f t="shared" si="4"/>
      </c>
      <c r="R51" s="158" t="b">
        <f t="shared" si="10"/>
        <v>0</v>
      </c>
      <c r="S51" s="159">
        <f t="shared" si="5"/>
      </c>
      <c r="T51" s="119"/>
      <c r="U51" s="119">
        <f t="shared" si="0"/>
      </c>
      <c r="V51">
        <f t="shared" si="11"/>
      </c>
    </row>
    <row r="52" spans="2:22" ht="15">
      <c r="B52" s="23">
        <f>IF(((B$6/3.6)-('Dropdown-Daten'!$O$55*E52))*3.6&gt;0,((B$6/3.6)-('Dropdown-Daten'!$O$55*E52))*3.6,0)</f>
        <v>0</v>
      </c>
      <c r="C52" s="24">
        <f>IF(B52=0,C51,(E52/2*(B52/3.6+'Dropdown-Daten'!$H$50/3.6)))</f>
        <v>32.90694444444444</v>
      </c>
      <c r="D52" s="25"/>
      <c r="E52" s="23">
        <v>4.6</v>
      </c>
      <c r="F52" s="26">
        <f t="shared" si="6"/>
        <v>21.77777777777778</v>
      </c>
      <c r="G52" s="27">
        <f>IF('Eingabe - Diagramm'!$K$12&gt;=E52,'Dropdown-Daten'!$H$50,(('Dropdown-Daten'!$H$50/3.6)-('Dropdown-Daten'!$O$66*(E52-'Eingabe - Diagramm'!$K$12)))*3.6)</f>
        <v>-17.199999999999992</v>
      </c>
      <c r="H52" s="24">
        <f t="shared" si="7"/>
        <v>11.129166666666663</v>
      </c>
      <c r="I52" s="28"/>
      <c r="K52" s="77">
        <f t="shared" si="12"/>
        <v>11.129166666666663</v>
      </c>
      <c r="L52" s="33">
        <f>IF('Eingabe - Diagramm'!$K$12&gt;=E52,E52*(G52/3.6)+H$6,(G52/3.6+G51/3.6)/2*(E52-E51)+H51)</f>
        <v>10.688888888888886</v>
      </c>
      <c r="M52" s="119"/>
      <c r="N52">
        <f t="shared" si="8"/>
        <v>52</v>
      </c>
      <c r="O52" s="158" t="b">
        <f t="shared" si="3"/>
        <v>0</v>
      </c>
      <c r="P52" s="77" t="b">
        <f t="shared" si="9"/>
        <v>0</v>
      </c>
      <c r="Q52" s="77">
        <f t="shared" si="4"/>
      </c>
      <c r="R52" s="158" t="b">
        <f t="shared" si="10"/>
        <v>0</v>
      </c>
      <c r="S52" s="159">
        <f t="shared" si="5"/>
      </c>
      <c r="T52" s="119"/>
      <c r="U52" s="119">
        <f t="shared" si="0"/>
      </c>
      <c r="V52">
        <f t="shared" si="11"/>
      </c>
    </row>
    <row r="53" spans="2:22" ht="15">
      <c r="B53" s="23">
        <f>IF(((B$6/3.6)-('Dropdown-Daten'!$O$55*E53))*3.6&gt;0,((B$6/3.6)-('Dropdown-Daten'!$O$55*E53))*3.6,0)</f>
        <v>0</v>
      </c>
      <c r="C53" s="24">
        <f>IF(B53=0,C52,(E53/2*(B53/3.6+'Dropdown-Daten'!$H$50/3.6)))</f>
        <v>32.90694444444444</v>
      </c>
      <c r="D53" s="25"/>
      <c r="E53" s="23">
        <v>4.7</v>
      </c>
      <c r="F53" s="26">
        <f t="shared" si="6"/>
        <v>21.77777777777778</v>
      </c>
      <c r="G53" s="27">
        <f>IF('Eingabe - Diagramm'!$K$12&gt;=E53,'Dropdown-Daten'!$H$50,(('Dropdown-Daten'!$H$50/3.6)-('Dropdown-Daten'!$O$66*(E53-'Eingabe - Diagramm'!$K$12)))*3.6)</f>
        <v>-19.900000000000002</v>
      </c>
      <c r="H53" s="24">
        <f>IF(G53&gt;0,L53,H52)</f>
        <v>11.129166666666663</v>
      </c>
      <c r="I53" s="28"/>
      <c r="K53" s="77">
        <f t="shared" si="12"/>
        <v>11.129166666666663</v>
      </c>
      <c r="L53" s="33">
        <f>IF('Eingabe - Diagramm'!$K$12&gt;=E53,E53*(G53/3.6)+H$6,(G53/3.6+G52/3.6)/2*(E53-E52)+H52)</f>
        <v>10.613888888888882</v>
      </c>
      <c r="M53" s="119"/>
      <c r="N53">
        <f t="shared" si="8"/>
        <v>53</v>
      </c>
      <c r="O53" s="158" t="b">
        <f t="shared" si="3"/>
        <v>0</v>
      </c>
      <c r="P53" s="77" t="b">
        <f t="shared" si="9"/>
        <v>0</v>
      </c>
      <c r="Q53" s="77">
        <f t="shared" si="4"/>
      </c>
      <c r="R53" s="158" t="b">
        <f t="shared" si="10"/>
        <v>0</v>
      </c>
      <c r="S53" s="159">
        <f t="shared" si="5"/>
      </c>
      <c r="T53" s="119"/>
      <c r="U53" s="119">
        <f t="shared" si="0"/>
      </c>
      <c r="V53">
        <f t="shared" si="11"/>
      </c>
    </row>
    <row r="54" spans="2:22" ht="15">
      <c r="B54" s="23">
        <f>IF(((B$6/3.6)-('Dropdown-Daten'!$O$55*E54))*3.6&gt;0,((B$6/3.6)-('Dropdown-Daten'!$O$55*E54))*3.6,0)</f>
        <v>0</v>
      </c>
      <c r="C54" s="24">
        <f>IF(B54=0,C53,(E54/2*(B54/3.6+'Dropdown-Daten'!$H$50/3.6)))</f>
        <v>32.90694444444444</v>
      </c>
      <c r="D54" s="25"/>
      <c r="E54" s="23">
        <v>4.8</v>
      </c>
      <c r="F54" s="26">
        <f>C54-H54</f>
        <v>21.77777777777778</v>
      </c>
      <c r="G54" s="27">
        <f>IF('Eingabe - Diagramm'!$K$12&gt;=E54,'Dropdown-Daten'!$H$50,(('Dropdown-Daten'!$H$50/3.6)-('Dropdown-Daten'!$O$66*(E54-'Eingabe - Diagramm'!$K$12)))*3.6)</f>
        <v>-22.600000000000005</v>
      </c>
      <c r="H54" s="24">
        <f t="shared" si="7"/>
        <v>11.129166666666663</v>
      </c>
      <c r="I54" s="28"/>
      <c r="K54" s="77">
        <f t="shared" si="12"/>
        <v>11.129166666666663</v>
      </c>
      <c r="L54" s="33">
        <f>IF('Eingabe - Diagramm'!$K$12&gt;=E54,E54*(G54/3.6)+H$6,(G54/3.6+G53/3.6)/2*(E54-E53)+H53)</f>
        <v>10.538888888888888</v>
      </c>
      <c r="M54" s="119"/>
      <c r="N54">
        <f t="shared" si="8"/>
        <v>54</v>
      </c>
      <c r="O54" s="158" t="b">
        <f t="shared" si="3"/>
        <v>0</v>
      </c>
      <c r="P54" s="77" t="b">
        <f t="shared" si="9"/>
        <v>0</v>
      </c>
      <c r="Q54" s="77">
        <f t="shared" si="4"/>
      </c>
      <c r="R54" s="158" t="b">
        <f t="shared" si="10"/>
        <v>0</v>
      </c>
      <c r="S54" s="159">
        <f t="shared" si="5"/>
      </c>
      <c r="T54" s="119"/>
      <c r="U54" s="119">
        <f t="shared" si="0"/>
      </c>
      <c r="V54">
        <f t="shared" si="11"/>
      </c>
    </row>
    <row r="55" spans="2:22" ht="15">
      <c r="B55" s="23">
        <f>IF(((B$6/3.6)-('Dropdown-Daten'!$O$55*E55))*3.6&gt;0,((B$6/3.6)-('Dropdown-Daten'!$O$55*E55))*3.6,0)</f>
        <v>0</v>
      </c>
      <c r="C55" s="24">
        <f>IF(B55=0,C54,(E55/2*(B55/3.6+'Dropdown-Daten'!$H$50/3.6)))</f>
        <v>32.90694444444444</v>
      </c>
      <c r="D55" s="25"/>
      <c r="E55" s="23">
        <v>4.9</v>
      </c>
      <c r="F55" s="26">
        <f t="shared" si="6"/>
        <v>21.77777777777778</v>
      </c>
      <c r="G55" s="27">
        <f>IF('Eingabe - Diagramm'!$K$12&gt;=E55,'Dropdown-Daten'!$H$50,(('Dropdown-Daten'!$H$50/3.6)-('Dropdown-Daten'!$O$66*(E55-'Eingabe - Diagramm'!$K$12)))*3.6)</f>
        <v>-25.300000000000015</v>
      </c>
      <c r="H55" s="24">
        <f t="shared" si="7"/>
        <v>11.129166666666663</v>
      </c>
      <c r="I55" s="28"/>
      <c r="K55" s="77">
        <f t="shared" si="12"/>
        <v>11.129166666666663</v>
      </c>
      <c r="L55" s="33">
        <f>IF('Eingabe - Diagramm'!$K$12&gt;=E55,E55*(G55/3.6)+H$6,(G55/3.6+G54/3.6)/2*(E55-E54)+H54)</f>
        <v>10.463888888888881</v>
      </c>
      <c r="M55" s="119"/>
      <c r="N55">
        <f t="shared" si="8"/>
        <v>55</v>
      </c>
      <c r="O55" s="158" t="b">
        <f t="shared" si="3"/>
        <v>0</v>
      </c>
      <c r="P55" s="77" t="b">
        <f t="shared" si="9"/>
        <v>0</v>
      </c>
      <c r="Q55" s="77">
        <f t="shared" si="4"/>
      </c>
      <c r="R55" s="158" t="b">
        <f t="shared" si="10"/>
        <v>0</v>
      </c>
      <c r="S55" s="159">
        <f t="shared" si="5"/>
      </c>
      <c r="T55" s="119"/>
      <c r="U55" s="119">
        <f t="shared" si="0"/>
      </c>
      <c r="V55">
        <f t="shared" si="11"/>
      </c>
    </row>
    <row r="56" spans="2:22" ht="15">
      <c r="B56" s="23">
        <f>IF(((B$6/3.6)-('Dropdown-Daten'!$O$55*E56))*3.6&gt;0,((B$6/3.6)-('Dropdown-Daten'!$O$55*E56))*3.6,0)</f>
        <v>0</v>
      </c>
      <c r="C56" s="24">
        <f>IF(B56=0,C55,(E56/2*(B56/3.6+'Dropdown-Daten'!$H$50/3.6)))</f>
        <v>32.90694444444444</v>
      </c>
      <c r="D56" s="25"/>
      <c r="E56" s="23">
        <v>5</v>
      </c>
      <c r="F56" s="26">
        <f t="shared" si="6"/>
        <v>21.77777777777778</v>
      </c>
      <c r="G56" s="27">
        <f>IF('Eingabe - Diagramm'!$K$12&gt;=E56,'Dropdown-Daten'!$H$50,(('Dropdown-Daten'!$H$50/3.6)-('Dropdown-Daten'!$O$66*(E56-'Eingabe - Diagramm'!$K$12)))*3.6)</f>
        <v>-28.000000000000004</v>
      </c>
      <c r="H56" s="24">
        <f t="shared" si="7"/>
        <v>11.129166666666663</v>
      </c>
      <c r="I56" s="28"/>
      <c r="K56" s="77">
        <f t="shared" si="12"/>
        <v>11.129166666666663</v>
      </c>
      <c r="L56" s="33">
        <f>IF('Eingabe - Diagramm'!$K$12&gt;=E56,E56*(G56/3.6)+H$6,(G56/3.6+G55/3.6)/2*(E56-E55)+H55)</f>
        <v>10.388888888888888</v>
      </c>
      <c r="M56" s="119"/>
      <c r="N56">
        <f t="shared" si="8"/>
        <v>56</v>
      </c>
      <c r="O56" s="158" t="b">
        <f t="shared" si="3"/>
        <v>0</v>
      </c>
      <c r="P56" s="77" t="b">
        <f>AND(O56=TRUE,O55=FALSE)</f>
        <v>0</v>
      </c>
      <c r="Q56" s="77">
        <f t="shared" si="4"/>
      </c>
      <c r="R56" s="158" t="b">
        <f t="shared" si="10"/>
        <v>0</v>
      </c>
      <c r="S56" s="159">
        <f t="shared" si="5"/>
      </c>
      <c r="T56" s="119"/>
      <c r="U56" s="119">
        <f t="shared" si="0"/>
      </c>
      <c r="V56">
        <f t="shared" si="11"/>
      </c>
    </row>
    <row r="57" spans="2:22" ht="15">
      <c r="B57" s="23">
        <f>IF(((B$6/3.6)-('Dropdown-Daten'!$O$55*E57))*3.6&gt;0,((B$6/3.6)-('Dropdown-Daten'!$O$55*E57))*3.6,0)</f>
        <v>0</v>
      </c>
      <c r="C57" s="24">
        <f>IF(B57=0,C56,(E57/2*(B57/3.6+'Dropdown-Daten'!$H$50/3.6)))</f>
        <v>32.90694444444444</v>
      </c>
      <c r="D57" s="25"/>
      <c r="E57" s="23">
        <v>5.1</v>
      </c>
      <c r="F57" s="26">
        <f t="shared" si="6"/>
        <v>21.77777777777778</v>
      </c>
      <c r="G57" s="27">
        <f>IF('Eingabe - Diagramm'!$K$12&gt;=E57,'Dropdown-Daten'!$H$50,(('Dropdown-Daten'!$H$50/3.6)-('Dropdown-Daten'!$O$66*(E57-'Eingabe - Diagramm'!$K$12)))*3.6)</f>
        <v>-30.699999999999992</v>
      </c>
      <c r="H57" s="24">
        <f t="shared" si="7"/>
        <v>11.129166666666663</v>
      </c>
      <c r="I57" s="28"/>
      <c r="K57" s="77">
        <f t="shared" si="12"/>
        <v>11.129166666666663</v>
      </c>
      <c r="L57" s="33">
        <f>IF('Eingabe - Diagramm'!$K$12&gt;=E57,E57*(G57/3.6)+H$6,(G57/3.6+G56/3.6)/2*(E57-E56)+H56)</f>
        <v>10.313888888888888</v>
      </c>
      <c r="M57" s="119"/>
      <c r="N57">
        <f t="shared" si="8"/>
        <v>57</v>
      </c>
      <c r="O57" s="158" t="b">
        <f t="shared" si="3"/>
        <v>0</v>
      </c>
      <c r="P57" s="77" t="b">
        <f t="shared" si="9"/>
        <v>0</v>
      </c>
      <c r="Q57" s="77">
        <f t="shared" si="4"/>
      </c>
      <c r="R57" s="158" t="b">
        <f t="shared" si="10"/>
        <v>0</v>
      </c>
      <c r="S57" s="159">
        <f t="shared" si="5"/>
      </c>
      <c r="T57" s="119"/>
      <c r="U57" s="119">
        <f t="shared" si="0"/>
      </c>
      <c r="V57">
        <f t="shared" si="11"/>
      </c>
    </row>
    <row r="58" spans="2:22" ht="15">
      <c r="B58" s="23">
        <f>IF(((B$6/3.6)-('Dropdown-Daten'!$O$55*E58))*3.6&gt;0,((B$6/3.6)-('Dropdown-Daten'!$O$55*E58))*3.6,0)</f>
        <v>0</v>
      </c>
      <c r="C58" s="24">
        <f>IF(B58=0,C57,(E58/2*(B58/3.6+'Dropdown-Daten'!$H$50/3.6)))</f>
        <v>32.90694444444444</v>
      </c>
      <c r="D58" s="25"/>
      <c r="E58" s="23">
        <v>5.2</v>
      </c>
      <c r="F58" s="26">
        <f t="shared" si="6"/>
        <v>21.77777777777778</v>
      </c>
      <c r="G58" s="27">
        <f>IF('Eingabe - Diagramm'!$K$12&gt;=E58,'Dropdown-Daten'!$H$50,(('Dropdown-Daten'!$H$50/3.6)-('Dropdown-Daten'!$O$66*(E58-'Eingabe - Diagramm'!$K$12)))*3.6)</f>
        <v>-33.400000000000006</v>
      </c>
      <c r="H58" s="24">
        <f t="shared" si="7"/>
        <v>11.129166666666663</v>
      </c>
      <c r="I58" s="28"/>
      <c r="K58" s="77">
        <f t="shared" si="12"/>
        <v>11.129166666666663</v>
      </c>
      <c r="L58" s="33">
        <f>IF('Eingabe - Diagramm'!$K$12&gt;=E58,E58*(G58/3.6)+H$6,(G58/3.6+G57/3.6)/2*(E58-E57)+H57)</f>
        <v>10.23888888888888</v>
      </c>
      <c r="M58" s="119"/>
      <c r="N58">
        <f t="shared" si="8"/>
        <v>58</v>
      </c>
      <c r="O58" s="158" t="b">
        <f t="shared" si="3"/>
        <v>0</v>
      </c>
      <c r="P58" s="77" t="b">
        <f t="shared" si="9"/>
        <v>0</v>
      </c>
      <c r="Q58" s="77">
        <f t="shared" si="4"/>
      </c>
      <c r="R58" s="158" t="b">
        <f t="shared" si="10"/>
        <v>0</v>
      </c>
      <c r="S58" s="159">
        <f t="shared" si="5"/>
      </c>
      <c r="T58" s="119"/>
      <c r="U58" s="119">
        <f t="shared" si="0"/>
      </c>
      <c r="V58">
        <f t="shared" si="11"/>
      </c>
    </row>
    <row r="59" spans="2:22" ht="15">
      <c r="B59" s="23">
        <f>IF(((B$6/3.6)-('Dropdown-Daten'!$O$55*E59))*3.6&gt;0,((B$6/3.6)-('Dropdown-Daten'!$O$55*E59))*3.6,0)</f>
        <v>0</v>
      </c>
      <c r="C59" s="24">
        <f>IF(B59=0,C58,(E59/2*(B59/3.6+'Dropdown-Daten'!$H$50/3.6)))</f>
        <v>32.90694444444444</v>
      </c>
      <c r="D59" s="25"/>
      <c r="E59" s="23">
        <v>5.3</v>
      </c>
      <c r="F59" s="26">
        <f t="shared" si="6"/>
        <v>21.77777777777778</v>
      </c>
      <c r="G59" s="27">
        <f>IF('Eingabe - Diagramm'!$K$12&gt;=E59,'Dropdown-Daten'!$H$50,(('Dropdown-Daten'!$H$50/3.6)-('Dropdown-Daten'!$O$66*(E59-'Eingabe - Diagramm'!$K$12)))*3.6)</f>
        <v>-36.1</v>
      </c>
      <c r="H59" s="24">
        <f t="shared" si="7"/>
        <v>11.129166666666663</v>
      </c>
      <c r="I59" s="28"/>
      <c r="K59" s="77">
        <f t="shared" si="12"/>
        <v>11.129166666666663</v>
      </c>
      <c r="L59" s="33">
        <f>IF('Eingabe - Diagramm'!$K$12&gt;=E59,E59*(G59/3.6)+H$6,(G59/3.6+G58/3.6)/2*(E59-E58)+H58)</f>
        <v>10.163888888888888</v>
      </c>
      <c r="M59" s="119"/>
      <c r="N59">
        <f t="shared" si="8"/>
        <v>59</v>
      </c>
      <c r="O59" s="158" t="b">
        <f t="shared" si="3"/>
        <v>0</v>
      </c>
      <c r="P59" s="77" t="b">
        <f t="shared" si="9"/>
        <v>0</v>
      </c>
      <c r="Q59" s="77">
        <f t="shared" si="4"/>
      </c>
      <c r="R59" s="158" t="b">
        <f>AND(O59=TRUE,O58=FALSE)</f>
        <v>0</v>
      </c>
      <c r="S59" s="159">
        <f t="shared" si="5"/>
      </c>
      <c r="T59" s="119"/>
      <c r="U59" s="119">
        <f t="shared" si="0"/>
      </c>
      <c r="V59">
        <f t="shared" si="11"/>
      </c>
    </row>
    <row r="60" spans="2:22" ht="15">
      <c r="B60" s="23">
        <f>IF(((B$6/3.6)-('Dropdown-Daten'!$O$55*E60))*3.6&gt;0,((B$6/3.6)-('Dropdown-Daten'!$O$55*E60))*3.6,0)</f>
        <v>0</v>
      </c>
      <c r="C60" s="24">
        <f>IF(B60=0,C59,(E60/2*(B60/3.6+'Dropdown-Daten'!$H$50/3.6)))</f>
        <v>32.90694444444444</v>
      </c>
      <c r="D60" s="25"/>
      <c r="E60" s="23">
        <v>5.4</v>
      </c>
      <c r="F60" s="26">
        <f t="shared" si="6"/>
        <v>21.77777777777778</v>
      </c>
      <c r="G60" s="27">
        <f>IF('Eingabe - Diagramm'!$K$12&gt;=E60,'Dropdown-Daten'!$H$50,(('Dropdown-Daten'!$H$50/3.6)-('Dropdown-Daten'!$O$66*(E60-'Eingabe - Diagramm'!$K$12)))*3.6)</f>
        <v>-38.800000000000004</v>
      </c>
      <c r="H60" s="24">
        <f t="shared" si="7"/>
        <v>11.129166666666663</v>
      </c>
      <c r="I60" s="28"/>
      <c r="K60" s="77">
        <f t="shared" si="12"/>
        <v>11.129166666666663</v>
      </c>
      <c r="L60" s="33">
        <f>IF('Eingabe - Diagramm'!$K$12&gt;=E60,E60*(G60/3.6)+H$6,(G60/3.6+G59/3.6)/2*(E60-E59)+H59)</f>
        <v>10.08888888888888</v>
      </c>
      <c r="M60" s="119"/>
      <c r="N60">
        <f t="shared" si="8"/>
        <v>60</v>
      </c>
      <c r="O60" s="158" t="b">
        <f t="shared" si="3"/>
        <v>0</v>
      </c>
      <c r="P60" s="77" t="b">
        <f t="shared" si="9"/>
        <v>0</v>
      </c>
      <c r="Q60" s="77">
        <f t="shared" si="4"/>
      </c>
      <c r="R60" s="158" t="b">
        <f t="shared" si="10"/>
        <v>0</v>
      </c>
      <c r="S60" s="159">
        <f t="shared" si="5"/>
      </c>
      <c r="T60" s="119"/>
      <c r="U60" s="119">
        <f t="shared" si="0"/>
      </c>
      <c r="V60">
        <f t="shared" si="11"/>
      </c>
    </row>
    <row r="61" spans="2:22" ht="15">
      <c r="B61" s="23">
        <f>IF(((B$6/3.6)-('Dropdown-Daten'!$O$55*E61))*3.6&gt;0,((B$6/3.6)-('Dropdown-Daten'!$O$55*E61))*3.6,0)</f>
        <v>0</v>
      </c>
      <c r="C61" s="24">
        <f>IF(B61=0,C60,(E61/2*(B61/3.6+'Dropdown-Daten'!$H$50/3.6)))</f>
        <v>32.90694444444444</v>
      </c>
      <c r="D61" s="25"/>
      <c r="E61" s="23">
        <v>5.5</v>
      </c>
      <c r="F61" s="26">
        <f t="shared" si="6"/>
        <v>21.77777777777778</v>
      </c>
      <c r="G61" s="27">
        <f>IF('Eingabe - Diagramm'!$K$12&gt;=E61,'Dropdown-Daten'!$H$50,(('Dropdown-Daten'!$H$50/3.6)-('Dropdown-Daten'!$O$66*(E61-'Eingabe - Diagramm'!$K$12)))*3.6)</f>
        <v>-41.50000000000001</v>
      </c>
      <c r="H61" s="24">
        <f t="shared" si="7"/>
        <v>11.129166666666663</v>
      </c>
      <c r="I61" s="28"/>
      <c r="K61" s="77">
        <f t="shared" si="12"/>
        <v>11.129166666666663</v>
      </c>
      <c r="L61" s="33">
        <f>IF('Eingabe - Diagramm'!$K$12&gt;=E61,E61*(G61/3.6)+H$6,(G61/3.6+G60/3.6)/2*(E61-E60)+H60)</f>
        <v>10.01388888888889</v>
      </c>
      <c r="M61" s="119"/>
      <c r="N61">
        <f t="shared" si="8"/>
        <v>61</v>
      </c>
      <c r="O61" s="158" t="b">
        <f t="shared" si="3"/>
        <v>0</v>
      </c>
      <c r="P61" s="77" t="b">
        <f t="shared" si="9"/>
        <v>0</v>
      </c>
      <c r="Q61" s="77">
        <f t="shared" si="4"/>
      </c>
      <c r="R61" s="158" t="b">
        <f t="shared" si="10"/>
        <v>0</v>
      </c>
      <c r="S61" s="159">
        <f t="shared" si="5"/>
      </c>
      <c r="T61" s="119"/>
      <c r="U61" s="119">
        <f t="shared" si="0"/>
      </c>
      <c r="V61">
        <f t="shared" si="11"/>
      </c>
    </row>
    <row r="62" spans="2:22" ht="15">
      <c r="B62" s="23">
        <f>IF(((B$6/3.6)-('Dropdown-Daten'!$O$55*E62))*3.6&gt;0,((B$6/3.6)-('Dropdown-Daten'!$O$55*E62))*3.6,0)</f>
        <v>0</v>
      </c>
      <c r="C62" s="24">
        <f>IF(B62=0,C61,(E62/2*(B62/3.6+'Dropdown-Daten'!$H$50/3.6)))</f>
        <v>32.90694444444444</v>
      </c>
      <c r="D62" s="25"/>
      <c r="E62" s="23">
        <v>5.6</v>
      </c>
      <c r="F62" s="26">
        <f t="shared" si="6"/>
        <v>21.77777777777778</v>
      </c>
      <c r="G62" s="27">
        <f>IF('Eingabe - Diagramm'!$K$12&gt;=E62,'Dropdown-Daten'!$H$50,(('Dropdown-Daten'!$H$50/3.6)-('Dropdown-Daten'!$O$66*(E62-'Eingabe - Diagramm'!$K$12)))*3.6)</f>
        <v>-44.2</v>
      </c>
      <c r="H62" s="24">
        <f t="shared" si="7"/>
        <v>11.129166666666663</v>
      </c>
      <c r="I62" s="28"/>
      <c r="K62" s="77">
        <f t="shared" si="12"/>
        <v>11.129166666666663</v>
      </c>
      <c r="L62" s="33">
        <f>IF('Eingabe - Diagramm'!$K$12&gt;=E62,E62*(G62/3.6)+H$6,(G62/3.6+G61/3.6)/2*(E62-E61)+H61)</f>
        <v>9.93888888888889</v>
      </c>
      <c r="M62" s="119"/>
      <c r="N62">
        <f t="shared" si="8"/>
        <v>62</v>
      </c>
      <c r="O62" s="158" t="b">
        <f t="shared" si="3"/>
        <v>0</v>
      </c>
      <c r="P62" s="77" t="b">
        <f>AND(O62=TRUE,O61=FALSE)</f>
        <v>0</v>
      </c>
      <c r="Q62" s="77">
        <f t="shared" si="4"/>
      </c>
      <c r="R62" s="158" t="b">
        <f t="shared" si="10"/>
        <v>0</v>
      </c>
      <c r="S62" s="159">
        <f t="shared" si="5"/>
      </c>
      <c r="T62" s="119"/>
      <c r="U62" s="119">
        <f t="shared" si="0"/>
      </c>
      <c r="V62">
        <f t="shared" si="11"/>
      </c>
    </row>
    <row r="63" spans="2:22" ht="15">
      <c r="B63" s="23">
        <f>IF(((B$6/3.6)-('Dropdown-Daten'!$O$55*E63))*3.6&gt;0,((B$6/3.6)-('Dropdown-Daten'!$O$55*E63))*3.6,0)</f>
        <v>0</v>
      </c>
      <c r="C63" s="24">
        <f>IF(B63=0,C62,(E63/2*(B63/3.6+'Dropdown-Daten'!$H$50/3.6)))</f>
        <v>32.90694444444444</v>
      </c>
      <c r="D63" s="25"/>
      <c r="E63" s="23">
        <v>5.7</v>
      </c>
      <c r="F63" s="26">
        <f t="shared" si="6"/>
        <v>21.77777777777778</v>
      </c>
      <c r="G63" s="27">
        <f>IF('Eingabe - Diagramm'!$K$12&gt;=E63,'Dropdown-Daten'!$H$50,(('Dropdown-Daten'!$H$50/3.6)-('Dropdown-Daten'!$O$66*(E63-'Eingabe - Diagramm'!$K$12)))*3.6)</f>
        <v>-46.900000000000006</v>
      </c>
      <c r="H63" s="24">
        <f t="shared" si="7"/>
        <v>11.129166666666663</v>
      </c>
      <c r="I63" s="28"/>
      <c r="K63" s="77">
        <f t="shared" si="12"/>
        <v>11.129166666666663</v>
      </c>
      <c r="L63" s="33">
        <f>IF('Eingabe - Diagramm'!$K$12&gt;=E63,E63*(G63/3.6)+H$6,(G63/3.6+G62/3.6)/2*(E63-E62)+H62)</f>
        <v>9.863888888888878</v>
      </c>
      <c r="M63" s="119"/>
      <c r="N63">
        <f t="shared" si="8"/>
        <v>63</v>
      </c>
      <c r="O63" s="158" t="b">
        <f t="shared" si="3"/>
        <v>0</v>
      </c>
      <c r="P63" s="77" t="b">
        <f t="shared" si="9"/>
        <v>0</v>
      </c>
      <c r="Q63" s="77">
        <f t="shared" si="4"/>
      </c>
      <c r="R63" s="158" t="b">
        <f t="shared" si="10"/>
        <v>0</v>
      </c>
      <c r="S63" s="159">
        <f t="shared" si="5"/>
      </c>
      <c r="T63" s="119"/>
      <c r="U63" s="119">
        <f t="shared" si="0"/>
      </c>
      <c r="V63">
        <f t="shared" si="11"/>
      </c>
    </row>
    <row r="64" spans="2:22" ht="15">
      <c r="B64" s="23">
        <f>IF(((B$6/3.6)-('Dropdown-Daten'!$O$55*E64))*3.6&gt;0,((B$6/3.6)-('Dropdown-Daten'!$O$55*E64))*3.6,0)</f>
        <v>0</v>
      </c>
      <c r="C64" s="24">
        <f>IF(B64=0,C63,(E64/2*(B64/3.6+'Dropdown-Daten'!$H$50/3.6)))</f>
        <v>32.90694444444444</v>
      </c>
      <c r="D64" s="25"/>
      <c r="E64" s="23">
        <v>5.8</v>
      </c>
      <c r="F64" s="26">
        <f t="shared" si="6"/>
        <v>21.77777777777778</v>
      </c>
      <c r="G64" s="27">
        <f>IF('Eingabe - Diagramm'!$K$12&gt;=E64,'Dropdown-Daten'!$H$50,(('Dropdown-Daten'!$H$50/3.6)-('Dropdown-Daten'!$O$66*(E64-'Eingabe - Diagramm'!$K$12)))*3.6)</f>
        <v>-49.6</v>
      </c>
      <c r="H64" s="24">
        <f t="shared" si="7"/>
        <v>11.129166666666663</v>
      </c>
      <c r="I64" s="28"/>
      <c r="K64" s="77">
        <f t="shared" si="12"/>
        <v>11.129166666666663</v>
      </c>
      <c r="L64" s="33">
        <f>IF('Eingabe - Diagramm'!$K$12&gt;=E64,E64*(G64/3.6)+H$6,(G64/3.6+G63/3.6)/2*(E64-E63)+H63)</f>
        <v>9.78888888888889</v>
      </c>
      <c r="M64" s="119"/>
      <c r="N64">
        <f t="shared" si="8"/>
        <v>64</v>
      </c>
      <c r="O64" s="158" t="b">
        <f t="shared" si="3"/>
        <v>0</v>
      </c>
      <c r="P64" s="77" t="b">
        <f t="shared" si="9"/>
        <v>0</v>
      </c>
      <c r="Q64" s="77">
        <f t="shared" si="4"/>
      </c>
      <c r="R64" s="158" t="b">
        <f t="shared" si="10"/>
        <v>0</v>
      </c>
      <c r="S64" s="159">
        <f t="shared" si="5"/>
      </c>
      <c r="T64" s="119"/>
      <c r="U64" s="119">
        <f t="shared" si="0"/>
      </c>
      <c r="V64">
        <f t="shared" si="11"/>
      </c>
    </row>
    <row r="65" spans="2:22" ht="15">
      <c r="B65" s="23">
        <f>IF(((B$6/3.6)-('Dropdown-Daten'!$O$55*E65))*3.6&gt;0,((B$6/3.6)-('Dropdown-Daten'!$O$55*E65))*3.6,0)</f>
        <v>0</v>
      </c>
      <c r="C65" s="24">
        <f>IF(B65=0,C64,(E65/2*(B65/3.6+'Dropdown-Daten'!$H$50/3.6)))</f>
        <v>32.90694444444444</v>
      </c>
      <c r="D65" s="25"/>
      <c r="E65" s="23">
        <v>5.9</v>
      </c>
      <c r="F65" s="26">
        <f t="shared" si="6"/>
        <v>21.77777777777778</v>
      </c>
      <c r="G65" s="27">
        <f>IF('Eingabe - Diagramm'!$K$12&gt;=E65,'Dropdown-Daten'!$H$50,(('Dropdown-Daten'!$H$50/3.6)-('Dropdown-Daten'!$O$66*(E65-'Eingabe - Diagramm'!$K$12)))*3.6)</f>
        <v>-52.300000000000004</v>
      </c>
      <c r="H65" s="24">
        <f t="shared" si="7"/>
        <v>11.129166666666663</v>
      </c>
      <c r="I65" s="28"/>
      <c r="K65" s="77">
        <f t="shared" si="12"/>
        <v>11.129166666666663</v>
      </c>
      <c r="L65" s="33">
        <f>IF('Eingabe - Diagramm'!$K$12&gt;=E65,E65*(G65/3.6)+H$6,(G65/3.6+G64/3.6)/2*(E65-E64)+H64)</f>
        <v>9.713888888888878</v>
      </c>
      <c r="M65" s="119"/>
      <c r="N65">
        <f t="shared" si="8"/>
        <v>65</v>
      </c>
      <c r="O65" s="158" t="b">
        <f t="shared" si="3"/>
        <v>0</v>
      </c>
      <c r="P65" s="77" t="b">
        <f t="shared" si="9"/>
        <v>0</v>
      </c>
      <c r="Q65" s="77">
        <f t="shared" si="4"/>
      </c>
      <c r="R65" s="158" t="b">
        <f t="shared" si="10"/>
        <v>0</v>
      </c>
      <c r="S65" s="159">
        <f t="shared" si="5"/>
      </c>
      <c r="T65" s="119"/>
      <c r="U65" s="119">
        <f t="shared" si="0"/>
      </c>
      <c r="V65">
        <f t="shared" si="11"/>
      </c>
    </row>
    <row r="66" spans="2:22" ht="15">
      <c r="B66" s="23">
        <f>IF(((B$6/3.6)-('Dropdown-Daten'!$O$55*E66))*3.6&gt;0,((B$6/3.6)-('Dropdown-Daten'!$O$55*E66))*3.6,0)</f>
        <v>0</v>
      </c>
      <c r="C66" s="24">
        <f>IF(B66=0,C65,(E66/2*(B66/3.6+'Dropdown-Daten'!$H$50/3.6)))</f>
        <v>32.90694444444444</v>
      </c>
      <c r="D66" s="25"/>
      <c r="E66" s="23">
        <v>6</v>
      </c>
      <c r="F66" s="26">
        <f t="shared" si="6"/>
        <v>21.77777777777778</v>
      </c>
      <c r="G66" s="27">
        <f>IF('Eingabe - Diagramm'!$K$12&gt;=E66,'Dropdown-Daten'!$H$50,(('Dropdown-Daten'!$H$50/3.6)-('Dropdown-Daten'!$O$66*(E66-'Eingabe - Diagramm'!$K$12)))*3.6)</f>
        <v>-55.00000000000001</v>
      </c>
      <c r="H66" s="24">
        <f t="shared" si="7"/>
        <v>11.129166666666663</v>
      </c>
      <c r="I66" s="28"/>
      <c r="K66" s="77">
        <f t="shared" si="12"/>
        <v>11.129166666666663</v>
      </c>
      <c r="L66" s="33">
        <f>IF('Eingabe - Diagramm'!$K$12&gt;=E66,E66*(G66/3.6)+H$6,(G66/3.6+G65/3.6)/2*(E66-E65)+H65)</f>
        <v>9.638888888888891</v>
      </c>
      <c r="M66" s="119"/>
      <c r="N66">
        <f t="shared" si="8"/>
        <v>66</v>
      </c>
      <c r="O66" s="158" t="b">
        <f t="shared" si="3"/>
        <v>0</v>
      </c>
      <c r="P66" s="77" t="b">
        <f t="shared" si="9"/>
        <v>0</v>
      </c>
      <c r="Q66" s="77">
        <f t="shared" si="4"/>
      </c>
      <c r="R66" s="158" t="b">
        <f t="shared" si="10"/>
        <v>0</v>
      </c>
      <c r="S66" s="159">
        <f t="shared" si="5"/>
      </c>
      <c r="T66" s="119"/>
      <c r="U66" s="119">
        <f t="shared" si="0"/>
      </c>
      <c r="V66">
        <f t="shared" si="11"/>
      </c>
    </row>
    <row r="67" spans="2:22" ht="15">
      <c r="B67" s="23">
        <f>IF(((B$6/3.6)-('Dropdown-Daten'!$O$55*E67))*3.6&gt;0,((B$6/3.6)-('Dropdown-Daten'!$O$55*E67))*3.6,0)</f>
        <v>0</v>
      </c>
      <c r="C67" s="24">
        <f>IF(B67=0,C66,(E67/2*(B67/3.6+'Dropdown-Daten'!$H$50/3.6)))</f>
        <v>32.90694444444444</v>
      </c>
      <c r="D67" s="25"/>
      <c r="E67" s="23">
        <v>6.1</v>
      </c>
      <c r="F67" s="26">
        <f t="shared" si="6"/>
        <v>21.77777777777778</v>
      </c>
      <c r="G67" s="27">
        <f>IF('Eingabe - Diagramm'!$K$12&gt;=E67,'Dropdown-Daten'!$H$50,(('Dropdown-Daten'!$H$50/3.6)-('Dropdown-Daten'!$O$66*(E67-'Eingabe - Diagramm'!$K$12)))*3.6)</f>
        <v>-57.7</v>
      </c>
      <c r="H67" s="24">
        <f t="shared" si="7"/>
        <v>11.129166666666663</v>
      </c>
      <c r="I67" s="28"/>
      <c r="K67" s="77">
        <f t="shared" si="12"/>
        <v>11.129166666666663</v>
      </c>
      <c r="L67" s="33">
        <f>IF('Eingabe - Diagramm'!$K$12&gt;=E67,E67*(G67/3.6)+H$6,(G67/3.6+G66/3.6)/2*(E67-E66)+H66)</f>
        <v>9.56388888888889</v>
      </c>
      <c r="M67" s="119"/>
      <c r="N67">
        <f t="shared" si="8"/>
        <v>67</v>
      </c>
      <c r="O67" s="158" t="b">
        <f t="shared" si="3"/>
        <v>0</v>
      </c>
      <c r="P67" s="77" t="b">
        <f t="shared" si="9"/>
        <v>0</v>
      </c>
      <c r="Q67" s="77">
        <f t="shared" si="4"/>
      </c>
      <c r="R67" s="158" t="b">
        <f t="shared" si="10"/>
        <v>0</v>
      </c>
      <c r="S67" s="159">
        <f t="shared" si="5"/>
      </c>
      <c r="T67" s="119"/>
      <c r="U67" s="119">
        <f t="shared" si="0"/>
      </c>
      <c r="V67">
        <f t="shared" si="11"/>
      </c>
    </row>
    <row r="68" spans="2:22" ht="15">
      <c r="B68" s="23">
        <f>IF(((B$6/3.6)-('Dropdown-Daten'!$O$55*E68))*3.6&gt;0,((B$6/3.6)-('Dropdown-Daten'!$O$55*E68))*3.6,0)</f>
        <v>0</v>
      </c>
      <c r="C68" s="24">
        <f>IF(B68=0,C67,(E68/2*(B68/3.6+'Dropdown-Daten'!$H$50/3.6)))</f>
        <v>32.90694444444444</v>
      </c>
      <c r="D68" s="25"/>
      <c r="E68" s="23">
        <v>6.2</v>
      </c>
      <c r="F68" s="26">
        <f t="shared" si="6"/>
        <v>21.77777777777778</v>
      </c>
      <c r="G68" s="27">
        <f>IF('Eingabe - Diagramm'!$K$12&gt;=E68,'Dropdown-Daten'!$H$50,(('Dropdown-Daten'!$H$50/3.6)-('Dropdown-Daten'!$O$66*(E68-'Eingabe - Diagramm'!$K$12)))*3.6)</f>
        <v>-60.400000000000006</v>
      </c>
      <c r="H68" s="24">
        <f t="shared" si="7"/>
        <v>11.129166666666663</v>
      </c>
      <c r="I68" s="28"/>
      <c r="K68" s="33">
        <f t="shared" si="12"/>
        <v>11.129166666666663</v>
      </c>
      <c r="L68" s="33">
        <f>IF('Eingabe - Diagramm'!$K$12&gt;=E68,E68*(G68/3.6)+H$6,(G68/3.6+G67/3.6)/2*(E68-E67)+H67)</f>
        <v>9.488888888888876</v>
      </c>
      <c r="N68">
        <f t="shared" si="8"/>
        <v>68</v>
      </c>
      <c r="O68" s="158" t="b">
        <f t="shared" si="3"/>
        <v>0</v>
      </c>
      <c r="P68" s="77" t="b">
        <f t="shared" si="9"/>
        <v>0</v>
      </c>
      <c r="Q68" s="77">
        <f t="shared" si="4"/>
      </c>
      <c r="R68" s="158" t="b">
        <f t="shared" si="10"/>
        <v>0</v>
      </c>
      <c r="S68" s="159">
        <f t="shared" si="5"/>
      </c>
      <c r="T68" s="119"/>
      <c r="U68" s="119">
        <f t="shared" si="0"/>
      </c>
      <c r="V68">
        <f t="shared" si="11"/>
      </c>
    </row>
    <row r="69" spans="2:22" ht="15">
      <c r="B69" s="23">
        <f>IF(((B$6/3.6)-('Dropdown-Daten'!$O$55*E69))*3.6&gt;0,((B$6/3.6)-('Dropdown-Daten'!$O$55*E69))*3.6,0)</f>
        <v>0</v>
      </c>
      <c r="C69" s="24">
        <f>IF(B69=0,C68,(E69/2*(B69/3.6+'Dropdown-Daten'!$H$50/3.6)))</f>
        <v>32.90694444444444</v>
      </c>
      <c r="D69" s="25"/>
      <c r="E69" s="23">
        <v>6.3</v>
      </c>
      <c r="F69" s="26">
        <f t="shared" si="6"/>
        <v>21.77777777777778</v>
      </c>
      <c r="G69" s="27">
        <f>IF('Eingabe - Diagramm'!$K$12&gt;=E69,'Dropdown-Daten'!$H$50,(('Dropdown-Daten'!$H$50/3.6)-('Dropdown-Daten'!$O$66*(E69-'Eingabe - Diagramm'!$K$12)))*3.6)</f>
        <v>-63.1</v>
      </c>
      <c r="H69" s="24">
        <f t="shared" si="7"/>
        <v>11.129166666666663</v>
      </c>
      <c r="I69" s="28"/>
      <c r="K69" s="33">
        <f t="shared" si="12"/>
        <v>11.129166666666663</v>
      </c>
      <c r="L69" s="33">
        <f>IF('Eingabe - Diagramm'!$K$12&gt;=E69,E69*(G69/3.6)+H$6,(G69/3.6+G68/3.6)/2*(E69-E68)+H68)</f>
        <v>9.413888888888891</v>
      </c>
      <c r="N69">
        <f t="shared" si="8"/>
        <v>69</v>
      </c>
      <c r="O69" s="158" t="b">
        <f t="shared" si="3"/>
        <v>0</v>
      </c>
      <c r="P69" s="77" t="b">
        <f t="shared" si="9"/>
        <v>0</v>
      </c>
      <c r="Q69" s="77">
        <f t="shared" si="4"/>
      </c>
      <c r="R69" s="158" t="b">
        <f t="shared" si="10"/>
        <v>0</v>
      </c>
      <c r="S69" s="159">
        <f t="shared" si="5"/>
      </c>
      <c r="T69" s="119"/>
      <c r="U69" s="119">
        <f t="shared" si="0"/>
      </c>
      <c r="V69">
        <f t="shared" si="11"/>
      </c>
    </row>
    <row r="70" spans="2:22" ht="15">
      <c r="B70" s="23">
        <f>IF(((B$6/3.6)-('Dropdown-Daten'!$O$55*E70))*3.6&gt;0,((B$6/3.6)-('Dropdown-Daten'!$O$55*E70))*3.6,0)</f>
        <v>0</v>
      </c>
      <c r="C70" s="24">
        <f>IF(B70=0,C69,(E70/2*(B70/3.6+'Dropdown-Daten'!$H$50/3.6)))</f>
        <v>32.90694444444444</v>
      </c>
      <c r="D70" s="25"/>
      <c r="E70" s="23">
        <v>6.4</v>
      </c>
      <c r="F70" s="26">
        <f t="shared" si="6"/>
        <v>21.77777777777778</v>
      </c>
      <c r="G70" s="27">
        <f>IF('Eingabe - Diagramm'!$K$12&gt;=E70,'Dropdown-Daten'!$H$50,(('Dropdown-Daten'!$H$50/3.6)-('Dropdown-Daten'!$O$66*(E70-'Eingabe - Diagramm'!$K$12)))*3.6)</f>
        <v>-65.80000000000001</v>
      </c>
      <c r="H70" s="24">
        <f t="shared" si="7"/>
        <v>11.129166666666663</v>
      </c>
      <c r="I70" s="28"/>
      <c r="K70" s="33">
        <f aca="true" t="shared" si="13" ref="K70:K86">IF(G70&gt;0,H70,K69)</f>
        <v>11.129166666666663</v>
      </c>
      <c r="L70" s="33">
        <f>IF('Eingabe - Diagramm'!$K$12&gt;=E70,E70*(G70/3.6)+H$6,(G70/3.6+G69/3.6)/2*(E70-E69)+H69)</f>
        <v>9.338888888888876</v>
      </c>
      <c r="N70">
        <f t="shared" si="8"/>
        <v>70</v>
      </c>
      <c r="O70" s="158" t="b">
        <f t="shared" si="3"/>
        <v>0</v>
      </c>
      <c r="P70" s="77" t="b">
        <f>AND(O70=TRUE,O69=FALSE)</f>
        <v>0</v>
      </c>
      <c r="Q70" s="77">
        <f t="shared" si="4"/>
      </c>
      <c r="R70" s="158" t="b">
        <f t="shared" si="10"/>
        <v>0</v>
      </c>
      <c r="S70" s="159">
        <f t="shared" si="5"/>
      </c>
      <c r="T70" s="119"/>
      <c r="U70" s="119">
        <f aca="true" t="shared" si="14" ref="U70:U86">IF(P70=TRUE,E69,"")</f>
      </c>
      <c r="V70">
        <f t="shared" si="11"/>
      </c>
    </row>
    <row r="71" spans="2:22" ht="15">
      <c r="B71" s="23">
        <f>IF(((B$6/3.6)-('Dropdown-Daten'!$O$55*E71))*3.6&gt;0,((B$6/3.6)-('Dropdown-Daten'!$O$55*E71))*3.6,0)</f>
        <v>0</v>
      </c>
      <c r="C71" s="24">
        <f>IF(B71=0,C70,(E71/2*(B71/3.6+'Dropdown-Daten'!$H$50/3.6)))</f>
        <v>32.90694444444444</v>
      </c>
      <c r="D71" s="25"/>
      <c r="E71" s="23">
        <v>6.5</v>
      </c>
      <c r="F71" s="26">
        <f t="shared" si="6"/>
        <v>21.77777777777778</v>
      </c>
      <c r="G71" s="27">
        <f>IF('Eingabe - Diagramm'!$K$12&gt;=E71,'Dropdown-Daten'!$H$50,(('Dropdown-Daten'!$H$50/3.6)-('Dropdown-Daten'!$O$66*(E71-'Eingabe - Diagramm'!$K$12)))*3.6)</f>
        <v>-68.5</v>
      </c>
      <c r="H71" s="24">
        <f t="shared" si="7"/>
        <v>11.129166666666663</v>
      </c>
      <c r="I71" s="28"/>
      <c r="K71" s="33">
        <f t="shared" si="13"/>
        <v>11.129166666666663</v>
      </c>
      <c r="L71" s="33">
        <f>IF('Eingabe - Diagramm'!$K$12&gt;=E71,E71*(G71/3.6)+H$6,(G71/3.6+G70/3.6)/2*(E71-E70)+H70)</f>
        <v>9.263888888888891</v>
      </c>
      <c r="N71">
        <f t="shared" si="8"/>
        <v>71</v>
      </c>
      <c r="O71" s="158" t="b">
        <f aca="true" t="shared" si="15" ref="O71:O86">AND(F71&lt;0)</f>
        <v>0</v>
      </c>
      <c r="P71" s="77" t="b">
        <f t="shared" si="9"/>
        <v>0</v>
      </c>
      <c r="Q71" s="77">
        <f aca="true" t="shared" si="16" ref="Q71:Q86">IF(P71,B71,"")</f>
      </c>
      <c r="R71" s="158" t="b">
        <f t="shared" si="10"/>
        <v>0</v>
      </c>
      <c r="S71" s="159">
        <f aca="true" t="shared" si="17" ref="S71:S86">IF(R71=TRUE,G71,"")</f>
      </c>
      <c r="T71" s="119"/>
      <c r="U71" s="119">
        <f t="shared" si="14"/>
      </c>
      <c r="V71">
        <f t="shared" si="11"/>
      </c>
    </row>
    <row r="72" spans="2:22" ht="15">
      <c r="B72" s="23">
        <f>IF(((B$6/3.6)-('Dropdown-Daten'!$O$55*E72))*3.6&gt;0,((B$6/3.6)-('Dropdown-Daten'!$O$55*E72))*3.6,0)</f>
        <v>0</v>
      </c>
      <c r="C72" s="24">
        <f>IF(B72=0,C71,(E72/2*(B72/3.6+'Dropdown-Daten'!$H$50/3.6)))</f>
        <v>32.90694444444444</v>
      </c>
      <c r="D72" s="25"/>
      <c r="E72" s="23">
        <v>6.6</v>
      </c>
      <c r="F72" s="26">
        <f aca="true" t="shared" si="18" ref="F72:F86">C72-H72</f>
        <v>21.77777777777778</v>
      </c>
      <c r="G72" s="27">
        <f>IF('Eingabe - Diagramm'!$K$12&gt;=E72,'Dropdown-Daten'!$H$50,(('Dropdown-Daten'!$H$50/3.6)-('Dropdown-Daten'!$O$66*(E72-'Eingabe - Diagramm'!$K$12)))*3.6)</f>
        <v>-71.2</v>
      </c>
      <c r="H72" s="24">
        <f>IF(G72&gt;0,L72,H71)</f>
        <v>11.129166666666663</v>
      </c>
      <c r="I72" s="28"/>
      <c r="K72" s="33">
        <f t="shared" si="13"/>
        <v>11.129166666666663</v>
      </c>
      <c r="L72" s="33">
        <f>IF('Eingabe - Diagramm'!$K$12&gt;=E72,E72*(G72/3.6)+H$6,(G72/3.6+G71/3.6)/2*(E72-E71)+H71)</f>
        <v>9.188888888888892</v>
      </c>
      <c r="N72">
        <f aca="true" t="shared" si="19" ref="N72:N86">IF(O72=FALSE,N71+1)</f>
        <v>72</v>
      </c>
      <c r="O72" s="158" t="b">
        <f t="shared" si="15"/>
        <v>0</v>
      </c>
      <c r="P72" s="77" t="b">
        <f aca="true" t="shared" si="20" ref="P72:P77">AND(O72=TRUE,O71=FALSE)</f>
        <v>0</v>
      </c>
      <c r="Q72" s="77">
        <f t="shared" si="16"/>
      </c>
      <c r="R72" s="158" t="b">
        <f>AND(O72=TRUE,O71=FALSE)</f>
        <v>0</v>
      </c>
      <c r="S72" s="159">
        <f t="shared" si="17"/>
      </c>
      <c r="T72" s="119"/>
      <c r="U72" s="119">
        <f t="shared" si="14"/>
      </c>
      <c r="V72">
        <f t="shared" si="11"/>
      </c>
    </row>
    <row r="73" spans="2:22" ht="15">
      <c r="B73" s="23">
        <f>IF(((B$6/3.6)-('Dropdown-Daten'!$O$55*E73))*3.6&gt;0,((B$6/3.6)-('Dropdown-Daten'!$O$55*E73))*3.6,0)</f>
        <v>0</v>
      </c>
      <c r="C73" s="24">
        <f>IF(B73=0,C72,(E73/2*(B73/3.6+'Dropdown-Daten'!$H$50/3.6)))</f>
        <v>32.90694444444444</v>
      </c>
      <c r="D73" s="25"/>
      <c r="E73" s="23">
        <v>6.7</v>
      </c>
      <c r="F73" s="26">
        <f t="shared" si="18"/>
        <v>21.77777777777778</v>
      </c>
      <c r="G73" s="27">
        <f>IF('Eingabe - Diagramm'!$K$12&gt;=E73,'Dropdown-Daten'!$H$50,(('Dropdown-Daten'!$H$50/3.6)-('Dropdown-Daten'!$O$66*(E73-'Eingabe - Diagramm'!$K$12)))*3.6)</f>
        <v>-73.9</v>
      </c>
      <c r="H73" s="24">
        <f>IF(G73&gt;0,L73,H72)</f>
        <v>11.129166666666663</v>
      </c>
      <c r="I73" s="28"/>
      <c r="K73" s="33">
        <f t="shared" si="13"/>
        <v>11.129166666666663</v>
      </c>
      <c r="L73" s="33">
        <f>IF('Eingabe - Diagramm'!$K$12&gt;=E73,E73*(G73/3.6)+H$6,(G73/3.6+G72/3.6)/2*(E73-E72)+H72)</f>
        <v>9.113888888888875</v>
      </c>
      <c r="N73">
        <f t="shared" si="19"/>
        <v>73</v>
      </c>
      <c r="O73" s="158" t="b">
        <f t="shared" si="15"/>
        <v>0</v>
      </c>
      <c r="P73" s="77" t="b">
        <f t="shared" si="20"/>
        <v>0</v>
      </c>
      <c r="Q73" s="77">
        <f t="shared" si="16"/>
      </c>
      <c r="R73" s="158" t="b">
        <f t="shared" si="10"/>
        <v>0</v>
      </c>
      <c r="S73" s="159">
        <f t="shared" si="17"/>
      </c>
      <c r="T73" s="119"/>
      <c r="U73" s="119">
        <f t="shared" si="14"/>
      </c>
      <c r="V73">
        <f t="shared" si="11"/>
      </c>
    </row>
    <row r="74" spans="2:22" ht="15">
      <c r="B74" s="23">
        <f>IF(((B$6/3.6)-('Dropdown-Daten'!$O$55*E74))*3.6&gt;0,((B$6/3.6)-('Dropdown-Daten'!$O$55*E74))*3.6,0)</f>
        <v>0</v>
      </c>
      <c r="C74" s="24">
        <f>IF(B74=0,C73,(E74/2*(B74/3.6+'Dropdown-Daten'!$H$50/3.6)))</f>
        <v>32.90694444444444</v>
      </c>
      <c r="D74" s="25"/>
      <c r="E74" s="23">
        <v>6.8</v>
      </c>
      <c r="F74" s="26">
        <f t="shared" si="18"/>
        <v>21.77777777777778</v>
      </c>
      <c r="G74" s="27">
        <f>IF('Eingabe - Diagramm'!$K$12&gt;=E74,'Dropdown-Daten'!$H$50,(('Dropdown-Daten'!$H$50/3.6)-('Dropdown-Daten'!$O$66*(E74-'Eingabe - Diagramm'!$K$12)))*3.6)</f>
        <v>-76.60000000000001</v>
      </c>
      <c r="H74" s="24">
        <f>IF(G74&gt;0,L74,H73)</f>
        <v>11.129166666666663</v>
      </c>
      <c r="I74" s="28"/>
      <c r="K74" s="33">
        <f t="shared" si="13"/>
        <v>11.129166666666663</v>
      </c>
      <c r="L74" s="33">
        <f>IF('Eingabe - Diagramm'!$K$12&gt;=E74,E74*(G74/3.6)+H$6,(G74/3.6+G73/3.6)/2*(E74-E73)+H73)</f>
        <v>9.038888888888891</v>
      </c>
      <c r="N74">
        <f t="shared" si="19"/>
        <v>74</v>
      </c>
      <c r="O74" s="158" t="b">
        <f t="shared" si="15"/>
        <v>0</v>
      </c>
      <c r="P74" s="77" t="b">
        <f t="shared" si="20"/>
        <v>0</v>
      </c>
      <c r="Q74" s="77">
        <f t="shared" si="16"/>
      </c>
      <c r="R74" s="158" t="b">
        <f aca="true" t="shared" si="21" ref="R74:R83">AND(O74=TRUE,O73=FALSE)</f>
        <v>0</v>
      </c>
      <c r="S74" s="159">
        <f t="shared" si="17"/>
      </c>
      <c r="T74" s="119"/>
      <c r="U74" s="119">
        <f t="shared" si="14"/>
      </c>
      <c r="V74">
        <f t="shared" si="11"/>
      </c>
    </row>
    <row r="75" spans="2:22" ht="15">
      <c r="B75" s="23">
        <f>IF(((B$6/3.6)-('Dropdown-Daten'!$O$55*E75))*3.6&gt;0,((B$6/3.6)-('Dropdown-Daten'!$O$55*E75))*3.6,0)</f>
        <v>0</v>
      </c>
      <c r="C75" s="24">
        <f>IF(B75=0,C74,(E75/2*(B75/3.6+'Dropdown-Daten'!$H$50/3.6)))</f>
        <v>32.90694444444444</v>
      </c>
      <c r="D75" s="25"/>
      <c r="E75" s="23">
        <v>6.9</v>
      </c>
      <c r="F75" s="26">
        <f t="shared" si="18"/>
        <v>21.77777777777778</v>
      </c>
      <c r="G75" s="27">
        <f>IF('Eingabe - Diagramm'!$K$12&gt;=E75,'Dropdown-Daten'!$H$50,(('Dropdown-Daten'!$H$50/3.6)-('Dropdown-Daten'!$O$66*(E75-'Eingabe - Diagramm'!$K$12)))*3.6)</f>
        <v>-79.30000000000001</v>
      </c>
      <c r="H75" s="24">
        <f>IF(G75&gt;0,L75,H74)</f>
        <v>11.129166666666663</v>
      </c>
      <c r="I75" s="28"/>
      <c r="K75" s="33">
        <f t="shared" si="13"/>
        <v>11.129166666666663</v>
      </c>
      <c r="L75" s="33">
        <f>IF('Eingabe - Diagramm'!$K$12&gt;=E75,E75*(G75/3.6)+H$6,(G75/3.6+G74/3.6)/2*(E75-E74)+H74)</f>
        <v>8.963888888888874</v>
      </c>
      <c r="N75">
        <f t="shared" si="19"/>
        <v>75</v>
      </c>
      <c r="O75" s="158" t="b">
        <f t="shared" si="15"/>
        <v>0</v>
      </c>
      <c r="P75" s="77" t="b">
        <f t="shared" si="20"/>
        <v>0</v>
      </c>
      <c r="Q75" s="77">
        <f t="shared" si="16"/>
      </c>
      <c r="R75" s="158" t="b">
        <f t="shared" si="21"/>
        <v>0</v>
      </c>
      <c r="S75" s="159">
        <f t="shared" si="17"/>
      </c>
      <c r="T75" s="119"/>
      <c r="U75" s="119">
        <f t="shared" si="14"/>
      </c>
      <c r="V75">
        <f t="shared" si="11"/>
      </c>
    </row>
    <row r="76" spans="2:22" ht="15">
      <c r="B76" s="23">
        <f>IF(((B$6/3.6)-('Dropdown-Daten'!$O$55*E76))*3.6&gt;0,((B$6/3.6)-('Dropdown-Daten'!$O$55*E76))*3.6,0)</f>
        <v>0</v>
      </c>
      <c r="C76" s="24">
        <f>IF(B76=0,C75,(E76/2*(B76/3.6+'Dropdown-Daten'!$H$50/3.6)))</f>
        <v>32.90694444444444</v>
      </c>
      <c r="D76" s="25"/>
      <c r="E76" s="23">
        <v>7</v>
      </c>
      <c r="F76" s="26">
        <f t="shared" si="18"/>
        <v>21.77777777777778</v>
      </c>
      <c r="G76" s="27">
        <f>IF('Eingabe - Diagramm'!$K$12&gt;=E76,'Dropdown-Daten'!$H$50,(('Dropdown-Daten'!$H$50/3.6)-('Dropdown-Daten'!$O$66*(E76-'Eingabe - Diagramm'!$K$12)))*3.6)</f>
        <v>-82</v>
      </c>
      <c r="H76" s="24">
        <f aca="true" t="shared" si="22" ref="H76:H86">IF(G76&gt;0,L76,H75)</f>
        <v>11.129166666666663</v>
      </c>
      <c r="I76" s="28"/>
      <c r="K76" s="33">
        <f t="shared" si="13"/>
        <v>11.129166666666663</v>
      </c>
      <c r="L76" s="33">
        <f>IF('Eingabe - Diagramm'!$K$12&gt;=E76,E76*(G76/3.6)+H$6,(G76/3.6+G75/3.6)/2*(E76-E75)+H75)</f>
        <v>8.888888888888893</v>
      </c>
      <c r="N76">
        <f t="shared" si="19"/>
        <v>76</v>
      </c>
      <c r="O76" s="158" t="b">
        <f t="shared" si="15"/>
        <v>0</v>
      </c>
      <c r="P76" s="77" t="b">
        <f t="shared" si="20"/>
        <v>0</v>
      </c>
      <c r="Q76" s="77">
        <f t="shared" si="16"/>
      </c>
      <c r="R76" s="158" t="b">
        <f t="shared" si="21"/>
        <v>0</v>
      </c>
      <c r="S76" s="159">
        <f t="shared" si="17"/>
      </c>
      <c r="T76" s="119"/>
      <c r="U76" s="119">
        <f t="shared" si="14"/>
      </c>
      <c r="V76">
        <f t="shared" si="11"/>
      </c>
    </row>
    <row r="77" spans="2:22" ht="15">
      <c r="B77" s="23">
        <f>IF(((B$6/3.6)-('Dropdown-Daten'!$O$55*E77))*3.6&gt;0,((B$6/3.6)-('Dropdown-Daten'!$O$55*E77))*3.6,0)</f>
        <v>0</v>
      </c>
      <c r="C77" s="24">
        <f>IF(B77=0,C76,(E77/2*(B77/3.6+'Dropdown-Daten'!$H$50/3.6)))</f>
        <v>32.90694444444444</v>
      </c>
      <c r="D77" s="25"/>
      <c r="E77" s="23">
        <v>7.1</v>
      </c>
      <c r="F77" s="26">
        <f t="shared" si="18"/>
        <v>21.77777777777778</v>
      </c>
      <c r="G77" s="27">
        <f>IF('Eingabe - Diagramm'!$K$12&gt;=E77,'Dropdown-Daten'!$H$50,(('Dropdown-Daten'!$H$50/3.6)-('Dropdown-Daten'!$O$66*(E77-'Eingabe - Diagramm'!$K$12)))*3.6)</f>
        <v>-84.7</v>
      </c>
      <c r="H77" s="24">
        <f t="shared" si="22"/>
        <v>11.129166666666663</v>
      </c>
      <c r="I77" s="28"/>
      <c r="K77" s="33">
        <f t="shared" si="13"/>
        <v>11.129166666666663</v>
      </c>
      <c r="L77" s="33">
        <f>IF('Eingabe - Diagramm'!$K$12&gt;=E77,E77*(G77/3.6)+H$6,(G77/3.6+G76/3.6)/2*(E77-E76)+H76)</f>
        <v>8.813888888888894</v>
      </c>
      <c r="N77">
        <f t="shared" si="19"/>
        <v>77</v>
      </c>
      <c r="O77" s="158" t="b">
        <f t="shared" si="15"/>
        <v>0</v>
      </c>
      <c r="P77" s="77" t="b">
        <f t="shared" si="20"/>
        <v>0</v>
      </c>
      <c r="Q77" s="77">
        <f t="shared" si="16"/>
      </c>
      <c r="R77" s="158" t="b">
        <f t="shared" si="21"/>
        <v>0</v>
      </c>
      <c r="S77" s="159">
        <f t="shared" si="17"/>
      </c>
      <c r="T77" s="119"/>
      <c r="U77" s="119">
        <f t="shared" si="14"/>
      </c>
      <c r="V77">
        <f t="shared" si="11"/>
      </c>
    </row>
    <row r="78" spans="2:22" ht="15">
      <c r="B78" s="23">
        <f>IF(((B$6/3.6)-('Dropdown-Daten'!$O$55*E78))*3.6&gt;0,((B$6/3.6)-('Dropdown-Daten'!$O$55*E78))*3.6,0)</f>
        <v>0</v>
      </c>
      <c r="C78" s="24">
        <f>IF(B78=0,C77,(E78/2*(B78/3.6+'Dropdown-Daten'!$H$50/3.6)))</f>
        <v>32.90694444444444</v>
      </c>
      <c r="D78" s="25"/>
      <c r="E78" s="23">
        <v>7.2</v>
      </c>
      <c r="F78" s="26">
        <f t="shared" si="18"/>
        <v>21.77777777777778</v>
      </c>
      <c r="G78" s="27">
        <f>IF('Eingabe - Diagramm'!$K$12&gt;=E78,'Dropdown-Daten'!$H$50,(('Dropdown-Daten'!$H$50/3.6)-('Dropdown-Daten'!$O$66*(E78-'Eingabe - Diagramm'!$K$12)))*3.6)</f>
        <v>-87.4</v>
      </c>
      <c r="H78" s="24">
        <f t="shared" si="22"/>
        <v>11.129166666666663</v>
      </c>
      <c r="I78" s="28"/>
      <c r="K78" s="33">
        <f t="shared" si="13"/>
        <v>11.129166666666663</v>
      </c>
      <c r="L78" s="33">
        <f>IF('Eingabe - Diagramm'!$K$12&gt;=E78,E78*(G78/3.6)+H$6,(G78/3.6+G77/3.6)/2*(E78-E77)+H77)</f>
        <v>8.738888888888873</v>
      </c>
      <c r="N78">
        <f t="shared" si="19"/>
        <v>78</v>
      </c>
      <c r="O78" s="158" t="b">
        <f t="shared" si="15"/>
        <v>0</v>
      </c>
      <c r="P78" s="77" t="b">
        <f>AND(O78=TRUE,O77=FALSE)</f>
        <v>0</v>
      </c>
      <c r="Q78" s="77">
        <f t="shared" si="16"/>
      </c>
      <c r="R78" s="158" t="b">
        <f t="shared" si="21"/>
        <v>0</v>
      </c>
      <c r="S78" s="159">
        <f t="shared" si="17"/>
      </c>
      <c r="T78" s="119"/>
      <c r="U78" s="119">
        <f t="shared" si="14"/>
      </c>
      <c r="V78">
        <f t="shared" si="11"/>
      </c>
    </row>
    <row r="79" spans="2:22" ht="15">
      <c r="B79" s="23">
        <f>IF(((B$6/3.6)-('Dropdown-Daten'!$O$55*E79))*3.6&gt;0,((B$6/3.6)-('Dropdown-Daten'!$O$55*E79))*3.6,0)</f>
        <v>0</v>
      </c>
      <c r="C79" s="24">
        <f>IF(B79=0,C78,(E79/2*(B79/3.6+'Dropdown-Daten'!$H$50/3.6)))</f>
        <v>32.90694444444444</v>
      </c>
      <c r="D79" s="25"/>
      <c r="E79" s="23">
        <v>7.3</v>
      </c>
      <c r="F79" s="26">
        <f t="shared" si="18"/>
        <v>21.77777777777778</v>
      </c>
      <c r="G79" s="27">
        <f>IF('Eingabe - Diagramm'!$K$12&gt;=E79,'Dropdown-Daten'!$H$50,(('Dropdown-Daten'!$H$50/3.6)-('Dropdown-Daten'!$O$66*(E79-'Eingabe - Diagramm'!$K$12)))*3.6)</f>
        <v>-90.10000000000001</v>
      </c>
      <c r="H79" s="24">
        <f t="shared" si="22"/>
        <v>11.129166666666663</v>
      </c>
      <c r="I79" s="28"/>
      <c r="K79" s="33">
        <f t="shared" si="13"/>
        <v>11.129166666666663</v>
      </c>
      <c r="L79" s="33">
        <f>IF('Eingabe - Diagramm'!$K$12&gt;=E79,E79*(G79/3.6)+H$6,(G79/3.6+G78/3.6)/2*(E79-E78)+H78)</f>
        <v>8.663888888888893</v>
      </c>
      <c r="N79">
        <f t="shared" si="19"/>
        <v>79</v>
      </c>
      <c r="O79" s="158" t="b">
        <f t="shared" si="15"/>
        <v>0</v>
      </c>
      <c r="P79" s="77" t="b">
        <f aca="true" t="shared" si="23" ref="P79:P86">AND(O79=TRUE,O78=FALSE)</f>
        <v>0</v>
      </c>
      <c r="Q79" s="77">
        <f t="shared" si="16"/>
      </c>
      <c r="R79" s="158" t="b">
        <f t="shared" si="21"/>
        <v>0</v>
      </c>
      <c r="S79" s="159">
        <f t="shared" si="17"/>
      </c>
      <c r="T79" s="119"/>
      <c r="U79" s="119">
        <f t="shared" si="14"/>
      </c>
      <c r="V79">
        <f t="shared" si="11"/>
      </c>
    </row>
    <row r="80" spans="2:22" ht="15">
      <c r="B80" s="23">
        <f>IF(((B$6/3.6)-('Dropdown-Daten'!$O$55*E80))*3.6&gt;0,((B$6/3.6)-('Dropdown-Daten'!$O$55*E80))*3.6,0)</f>
        <v>0</v>
      </c>
      <c r="C80" s="24">
        <f>IF(B80=0,C79,(E80/2*(B80/3.6+'Dropdown-Daten'!$H$50/3.6)))</f>
        <v>32.90694444444444</v>
      </c>
      <c r="D80" s="25"/>
      <c r="E80" s="23">
        <v>7.4</v>
      </c>
      <c r="F80" s="26">
        <f t="shared" si="18"/>
        <v>21.77777777777778</v>
      </c>
      <c r="G80" s="27">
        <f>IF('Eingabe - Diagramm'!$K$12&gt;=E80,'Dropdown-Daten'!$H$50,(('Dropdown-Daten'!$H$50/3.6)-('Dropdown-Daten'!$O$66*(E80-'Eingabe - Diagramm'!$K$12)))*3.6)</f>
        <v>-92.80000000000001</v>
      </c>
      <c r="H80" s="24">
        <f t="shared" si="22"/>
        <v>11.129166666666663</v>
      </c>
      <c r="I80" s="28"/>
      <c r="K80" s="33">
        <f t="shared" si="13"/>
        <v>11.129166666666663</v>
      </c>
      <c r="L80" s="33">
        <f>IF('Eingabe - Diagramm'!$K$12&gt;=E80,E80*(G80/3.6)+H$6,(G80/3.6+G79/3.6)/2*(E80-E79)+H79)</f>
        <v>8.58888888888887</v>
      </c>
      <c r="N80">
        <f t="shared" si="19"/>
        <v>80</v>
      </c>
      <c r="O80" s="158" t="b">
        <f t="shared" si="15"/>
        <v>0</v>
      </c>
      <c r="P80" s="77" t="b">
        <f t="shared" si="23"/>
        <v>0</v>
      </c>
      <c r="Q80" s="77">
        <f t="shared" si="16"/>
      </c>
      <c r="R80" s="158" t="b">
        <f t="shared" si="21"/>
        <v>0</v>
      </c>
      <c r="S80" s="159">
        <f t="shared" si="17"/>
      </c>
      <c r="T80" s="119"/>
      <c r="U80" s="119">
        <f t="shared" si="14"/>
      </c>
      <c r="V80">
        <f t="shared" si="11"/>
      </c>
    </row>
    <row r="81" spans="2:22" ht="15">
      <c r="B81" s="23">
        <f>IF(((B$6/3.6)-('Dropdown-Daten'!$O$55*E81))*3.6&gt;0,((B$6/3.6)-('Dropdown-Daten'!$O$55*E81))*3.6,0)</f>
        <v>0</v>
      </c>
      <c r="C81" s="24">
        <f>IF(B81=0,C80,(E81/2*(B81/3.6+'Dropdown-Daten'!$H$50/3.6)))</f>
        <v>32.90694444444444</v>
      </c>
      <c r="D81" s="25"/>
      <c r="E81" s="23">
        <v>7.5</v>
      </c>
      <c r="F81" s="26">
        <f t="shared" si="18"/>
        <v>21.77777777777778</v>
      </c>
      <c r="G81" s="27">
        <f>IF('Eingabe - Diagramm'!$K$12&gt;=E81,'Dropdown-Daten'!$H$50,(('Dropdown-Daten'!$H$50/3.6)-('Dropdown-Daten'!$O$66*(E81-'Eingabe - Diagramm'!$K$12)))*3.6)</f>
        <v>-95.5</v>
      </c>
      <c r="H81" s="24">
        <f t="shared" si="22"/>
        <v>11.129166666666663</v>
      </c>
      <c r="I81" s="28"/>
      <c r="K81" s="33">
        <f t="shared" si="13"/>
        <v>11.129166666666663</v>
      </c>
      <c r="L81" s="33">
        <f>IF('Eingabe - Diagramm'!$K$12&gt;=E81,E81*(G81/3.6)+H$6,(G81/3.6+G80/3.6)/2*(E81-E80)+H80)</f>
        <v>8.513888888888895</v>
      </c>
      <c r="N81">
        <f>IF(O81=FALSE,N80+1)</f>
        <v>81</v>
      </c>
      <c r="O81" s="158" t="b">
        <f>AND(F81&lt;0)</f>
        <v>0</v>
      </c>
      <c r="P81" s="77" t="b">
        <f t="shared" si="23"/>
        <v>0</v>
      </c>
      <c r="Q81" s="77">
        <f t="shared" si="16"/>
      </c>
      <c r="R81" s="158" t="b">
        <f t="shared" si="21"/>
        <v>0</v>
      </c>
      <c r="S81" s="159">
        <f t="shared" si="17"/>
      </c>
      <c r="T81" s="119"/>
      <c r="U81" s="119">
        <f t="shared" si="14"/>
      </c>
      <c r="V81">
        <f t="shared" si="11"/>
      </c>
    </row>
    <row r="82" spans="2:22" ht="15">
      <c r="B82" s="23">
        <f>IF(((B$6/3.6)-('Dropdown-Daten'!$O$55*E82))*3.6&gt;0,((B$6/3.6)-('Dropdown-Daten'!$O$55*E82))*3.6,0)</f>
        <v>0</v>
      </c>
      <c r="C82" s="24">
        <f>IF(B82=0,C81,(E82/2*(B82/3.6+'Dropdown-Daten'!$H$50/3.6)))</f>
        <v>32.90694444444444</v>
      </c>
      <c r="D82" s="25"/>
      <c r="E82" s="23">
        <v>7.6</v>
      </c>
      <c r="F82" s="26">
        <f t="shared" si="18"/>
        <v>21.77777777777778</v>
      </c>
      <c r="G82" s="27">
        <f>IF('Eingabe - Diagramm'!$K$12&gt;=E82,'Dropdown-Daten'!$H$50,(('Dropdown-Daten'!$H$50/3.6)-('Dropdown-Daten'!$O$66*(E82-'Eingabe - Diagramm'!$K$12)))*3.6)</f>
        <v>-98.2</v>
      </c>
      <c r="H82" s="24">
        <f t="shared" si="22"/>
        <v>11.129166666666663</v>
      </c>
      <c r="I82" s="28"/>
      <c r="K82" s="33">
        <f t="shared" si="13"/>
        <v>11.129166666666663</v>
      </c>
      <c r="L82" s="33">
        <f>IF('Eingabe - Diagramm'!$K$12&gt;=E82,E82*(G82/3.6)+H$6,(G82/3.6+G81/3.6)/2*(E82-E81)+H81)</f>
        <v>8.438888888888894</v>
      </c>
      <c r="N82">
        <f t="shared" si="19"/>
        <v>82</v>
      </c>
      <c r="O82" s="158" t="b">
        <f t="shared" si="15"/>
        <v>0</v>
      </c>
      <c r="P82" s="77" t="b">
        <f t="shared" si="23"/>
        <v>0</v>
      </c>
      <c r="Q82" s="77">
        <f t="shared" si="16"/>
      </c>
      <c r="R82" s="158" t="b">
        <f t="shared" si="21"/>
        <v>0</v>
      </c>
      <c r="S82" s="159">
        <f t="shared" si="17"/>
      </c>
      <c r="T82" s="119"/>
      <c r="U82" s="119">
        <f t="shared" si="14"/>
      </c>
      <c r="V82">
        <f t="shared" si="11"/>
      </c>
    </row>
    <row r="83" spans="2:22" ht="15">
      <c r="B83" s="23">
        <f>IF(((B$6/3.6)-('Dropdown-Daten'!$O$55*E83))*3.6&gt;0,((B$6/3.6)-('Dropdown-Daten'!$O$55*E83))*3.6,0)</f>
        <v>0</v>
      </c>
      <c r="C83" s="24">
        <f>IF(B83=0,C82,(E83/2*(B83/3.6+'Dropdown-Daten'!$H$50/3.6)))</f>
        <v>32.90694444444444</v>
      </c>
      <c r="D83" s="25"/>
      <c r="E83" s="23">
        <v>7.7</v>
      </c>
      <c r="F83" s="26">
        <f t="shared" si="18"/>
        <v>21.77777777777778</v>
      </c>
      <c r="G83" s="27">
        <f>IF('Eingabe - Diagramm'!$K$12&gt;=E83,'Dropdown-Daten'!$H$50,(('Dropdown-Daten'!$H$50/3.6)-('Dropdown-Daten'!$O$66*(E83-'Eingabe - Diagramm'!$K$12)))*3.6)</f>
        <v>-100.9</v>
      </c>
      <c r="H83" s="24">
        <f t="shared" si="22"/>
        <v>11.129166666666663</v>
      </c>
      <c r="I83" s="28"/>
      <c r="K83" s="33">
        <f t="shared" si="13"/>
        <v>11.129166666666663</v>
      </c>
      <c r="L83" s="33">
        <f>IF('Eingabe - Diagramm'!$K$12&gt;=E83,E83*(G83/3.6)+H$6,(G83/3.6+G82/3.6)/2*(E83-E82)+H82)</f>
        <v>8.36388888888887</v>
      </c>
      <c r="N83">
        <f t="shared" si="19"/>
        <v>83</v>
      </c>
      <c r="O83" s="158" t="b">
        <f t="shared" si="15"/>
        <v>0</v>
      </c>
      <c r="P83" s="77" t="b">
        <f t="shared" si="23"/>
        <v>0</v>
      </c>
      <c r="Q83" s="77">
        <f t="shared" si="16"/>
      </c>
      <c r="R83" s="158" t="b">
        <f t="shared" si="21"/>
        <v>0</v>
      </c>
      <c r="S83" s="159">
        <f t="shared" si="17"/>
      </c>
      <c r="T83" s="119"/>
      <c r="U83" s="119">
        <f t="shared" si="14"/>
      </c>
      <c r="V83">
        <f t="shared" si="11"/>
      </c>
    </row>
    <row r="84" spans="2:22" ht="15">
      <c r="B84" s="23">
        <f>IF(((B$6/3.6)-('Dropdown-Daten'!$O$55*E84))*3.6&gt;0,((B$6/3.6)-('Dropdown-Daten'!$O$55*E84))*3.6,0)</f>
        <v>0</v>
      </c>
      <c r="C84" s="24">
        <f>IF(B84=0,C83,(E84/2*(B84/3.6+'Dropdown-Daten'!$H$50/3.6)))</f>
        <v>32.90694444444444</v>
      </c>
      <c r="D84" s="25"/>
      <c r="E84" s="23">
        <v>7.8</v>
      </c>
      <c r="F84" s="26">
        <f t="shared" si="18"/>
        <v>21.77777777777778</v>
      </c>
      <c r="G84" s="27">
        <f>IF('Eingabe - Diagramm'!$K$12&gt;=E84,'Dropdown-Daten'!$H$50,(('Dropdown-Daten'!$H$50/3.6)-('Dropdown-Daten'!$O$66*(E84-'Eingabe - Diagramm'!$K$12)))*3.6)</f>
        <v>-103.60000000000001</v>
      </c>
      <c r="H84" s="24">
        <f t="shared" si="22"/>
        <v>11.129166666666663</v>
      </c>
      <c r="I84" s="28"/>
      <c r="K84" s="33">
        <f t="shared" si="13"/>
        <v>11.129166666666663</v>
      </c>
      <c r="L84" s="33">
        <f>IF('Eingabe - Diagramm'!$K$12&gt;=E84,E84*(G84/3.6)+H$6,(G84/3.6+G83/3.6)/2*(E84-E83)+H83)</f>
        <v>8.288888888888895</v>
      </c>
      <c r="N84">
        <f t="shared" si="19"/>
        <v>84</v>
      </c>
      <c r="O84" s="158" t="b">
        <f t="shared" si="15"/>
        <v>0</v>
      </c>
      <c r="P84" s="77" t="b">
        <f t="shared" si="23"/>
        <v>0</v>
      </c>
      <c r="Q84" s="77">
        <f t="shared" si="16"/>
      </c>
      <c r="R84" s="158" t="b">
        <f>AND(O84=TRUE,O83=FALSE)</f>
        <v>0</v>
      </c>
      <c r="S84" s="159">
        <f t="shared" si="17"/>
      </c>
      <c r="T84" s="119"/>
      <c r="U84" s="119">
        <f t="shared" si="14"/>
      </c>
      <c r="V84">
        <f t="shared" si="11"/>
      </c>
    </row>
    <row r="85" spans="2:22" ht="15">
      <c r="B85" s="23">
        <f>IF(((B$6/3.6)-('Dropdown-Daten'!$O$55*E85))*3.6&gt;0,((B$6/3.6)-('Dropdown-Daten'!$O$55*E85))*3.6,0)</f>
        <v>0</v>
      </c>
      <c r="C85" s="24">
        <f>IF(B85=0,C84,(E85/2*(B85/3.6+'Dropdown-Daten'!$H$50/3.6)))</f>
        <v>32.90694444444444</v>
      </c>
      <c r="D85" s="25"/>
      <c r="E85" s="23">
        <v>7.9</v>
      </c>
      <c r="F85" s="26">
        <f t="shared" si="18"/>
        <v>21.77777777777778</v>
      </c>
      <c r="G85" s="27">
        <f>IF('Eingabe - Diagramm'!$K$12&gt;=E85,'Dropdown-Daten'!$H$50,(('Dropdown-Daten'!$H$50/3.6)-('Dropdown-Daten'!$O$66*(E85-'Eingabe - Diagramm'!$K$12)))*3.6)</f>
        <v>-106.30000000000001</v>
      </c>
      <c r="H85" s="24">
        <f t="shared" si="22"/>
        <v>11.129166666666663</v>
      </c>
      <c r="I85" s="28"/>
      <c r="K85" s="33">
        <f t="shared" si="13"/>
        <v>11.129166666666663</v>
      </c>
      <c r="L85" s="33">
        <f>IF('Eingabe - Diagramm'!$K$12&gt;=E85,E85*(G85/3.6)+H$6,(G85/3.6+G84/3.6)/2*(E85-E84)+H84)</f>
        <v>8.213888888888869</v>
      </c>
      <c r="N85">
        <f t="shared" si="19"/>
        <v>85</v>
      </c>
      <c r="O85" s="158" t="b">
        <f t="shared" si="15"/>
        <v>0</v>
      </c>
      <c r="P85" s="77" t="b">
        <f t="shared" si="23"/>
        <v>0</v>
      </c>
      <c r="Q85" s="77">
        <f t="shared" si="16"/>
      </c>
      <c r="R85" s="158" t="b">
        <f>AND(O85=TRUE,O84=FALSE)</f>
        <v>0</v>
      </c>
      <c r="S85" s="159">
        <f t="shared" si="17"/>
      </c>
      <c r="T85" s="119"/>
      <c r="U85" s="119">
        <f t="shared" si="14"/>
      </c>
      <c r="V85">
        <f t="shared" si="11"/>
      </c>
    </row>
    <row r="86" spans="2:22" ht="15" thickBot="1">
      <c r="B86" s="29">
        <f>IF(((B$6/3.6)-('Dropdown-Daten'!$O$55*E86))*3.6&gt;0,((B$6/3.6)-('Dropdown-Daten'!$O$55*E86))*3.6,0)</f>
        <v>0</v>
      </c>
      <c r="C86" s="30">
        <f>IF(B86=0,C85,(E86/2*(B86/3.6+'Dropdown-Daten'!$H$50/3.6)))</f>
        <v>32.90694444444444</v>
      </c>
      <c r="D86" s="31"/>
      <c r="E86" s="29">
        <v>8</v>
      </c>
      <c r="F86" s="135">
        <f t="shared" si="18"/>
        <v>21.77777777777778</v>
      </c>
      <c r="G86" s="29">
        <f>IF('Eingabe - Diagramm'!$K$12&gt;=E86,'Dropdown-Daten'!$H$50,(('Dropdown-Daten'!$H$50/3.6)-('Dropdown-Daten'!$O$66*(E86-'Eingabe - Diagramm'!$K$12)))*3.6)</f>
        <v>-109</v>
      </c>
      <c r="H86" s="30">
        <f t="shared" si="22"/>
        <v>11.129166666666663</v>
      </c>
      <c r="I86" s="32"/>
      <c r="K86" s="33">
        <f t="shared" si="13"/>
        <v>11.129166666666663</v>
      </c>
      <c r="L86" s="33">
        <f>IF('Eingabe - Diagramm'!$K$12&gt;=E86,E86*(G86/3.6)+H$6,(G86/3.6+G85/3.6)/2*(E86-E85)+H85)</f>
        <v>8.138888888888896</v>
      </c>
      <c r="N86">
        <f t="shared" si="19"/>
        <v>86</v>
      </c>
      <c r="O86" s="158" t="b">
        <f t="shared" si="15"/>
        <v>0</v>
      </c>
      <c r="P86" s="77" t="b">
        <f t="shared" si="23"/>
        <v>0</v>
      </c>
      <c r="Q86" s="77">
        <f t="shared" si="16"/>
      </c>
      <c r="R86" s="158" t="b">
        <f>AND(O86=TRUE,O85=FALSE)</f>
        <v>0</v>
      </c>
      <c r="S86" s="159">
        <f t="shared" si="17"/>
      </c>
      <c r="T86" s="119"/>
      <c r="U86" s="119">
        <f t="shared" si="14"/>
      </c>
      <c r="V86">
        <f t="shared" si="11"/>
      </c>
    </row>
    <row r="87" spans="3:22" ht="15">
      <c r="C87" s="119"/>
      <c r="G87" s="27"/>
      <c r="N87">
        <f>MAX(N6:N86)</f>
        <v>86</v>
      </c>
      <c r="O87" s="157"/>
      <c r="P87" s="119"/>
      <c r="Q87" s="169">
        <f>SUM(Q6:Q86)</f>
        <v>0</v>
      </c>
      <c r="R87" s="170">
        <f>SUM(R6:R86)</f>
        <v>0</v>
      </c>
      <c r="S87" s="170">
        <f>SUM(S6:S86)</f>
        <v>0</v>
      </c>
      <c r="T87" s="119"/>
      <c r="U87" s="119">
        <f>SUM(U6:U86)</f>
        <v>0</v>
      </c>
      <c r="V87">
        <f>SUM(V6:V86)</f>
        <v>0</v>
      </c>
    </row>
    <row r="88" spans="7:22" ht="15">
      <c r="G88" s="119"/>
      <c r="O88" s="157"/>
      <c r="P88" s="119"/>
      <c r="Q88" s="119"/>
      <c r="R88" s="157"/>
      <c r="S88" s="149">
        <f>IF(S87=0,"",S87)</f>
      </c>
      <c r="T88" s="119"/>
      <c r="U88" s="143" t="b">
        <f>IF(U87&gt;0,U87)</f>
        <v>0</v>
      </c>
      <c r="V88" s="143" t="b">
        <f>IF(V87&gt;0,V87)</f>
        <v>0</v>
      </c>
    </row>
    <row r="89" spans="15:21" ht="15" thickBot="1">
      <c r="O89" s="150"/>
      <c r="P89" s="147"/>
      <c r="Q89" s="147"/>
      <c r="R89" s="150" t="b">
        <f>IF(S87=0,TRUE,FALSE)</f>
        <v>1</v>
      </c>
      <c r="S89" s="150" t="e">
        <f>IF(S88="",#N/A,S87)</f>
        <v>#N/A</v>
      </c>
      <c r="T89" s="119"/>
      <c r="U89" s="119"/>
    </row>
    <row r="90" spans="15:21" ht="15">
      <c r="O90" s="119"/>
      <c r="P90" s="119"/>
      <c r="Q90" s="119"/>
      <c r="R90" s="119"/>
      <c r="S90" s="119"/>
      <c r="T90" s="119"/>
      <c r="U90" s="119"/>
    </row>
    <row r="91" spans="15:21" ht="15">
      <c r="O91" s="119"/>
      <c r="P91" s="119"/>
      <c r="Q91" s="119"/>
      <c r="R91" s="119"/>
      <c r="S91" s="119"/>
      <c r="T91" s="119"/>
      <c r="U91" s="119"/>
    </row>
    <row r="92" spans="15:21" ht="15">
      <c r="O92" s="119"/>
      <c r="P92" s="119"/>
      <c r="Q92" s="119"/>
      <c r="R92" s="119"/>
      <c r="S92" s="119"/>
      <c r="T92" s="119"/>
      <c r="U92" s="119"/>
    </row>
    <row r="93" spans="15:21" ht="15">
      <c r="O93" s="119"/>
      <c r="P93" s="119"/>
      <c r="Q93" s="119"/>
      <c r="R93" s="119"/>
      <c r="S93" s="119"/>
      <c r="T93" s="119"/>
      <c r="U93" s="119"/>
    </row>
    <row r="94" spans="15:21" ht="15" thickBot="1">
      <c r="O94" s="119"/>
      <c r="P94" s="119"/>
      <c r="Q94" s="119"/>
      <c r="R94" s="119"/>
      <c r="S94" s="119"/>
      <c r="T94" s="119"/>
      <c r="U94" s="119"/>
    </row>
    <row r="95" spans="6:21" ht="15">
      <c r="F95" s="160">
        <f>IF($N$87&gt;=6,E6,"")</f>
        <v>0</v>
      </c>
      <c r="G95" s="151">
        <f>IF(F95="",#N/A,F95)</f>
        <v>0</v>
      </c>
      <c r="O95" s="119"/>
      <c r="P95" s="119"/>
      <c r="Q95" s="119"/>
      <c r="R95" s="119"/>
      <c r="S95" s="119"/>
      <c r="T95" s="119"/>
      <c r="U95" s="119"/>
    </row>
    <row r="96" spans="6:21" ht="15">
      <c r="F96" s="23">
        <f>IF($N$87&gt;=7,E7,"")</f>
        <v>0.1</v>
      </c>
      <c r="G96" s="149">
        <f aca="true" t="shared" si="24" ref="G96:G159">IF(F96="",#N/A,F96)</f>
        <v>0.1</v>
      </c>
      <c r="O96" s="119"/>
      <c r="P96" s="119"/>
      <c r="Q96" s="119"/>
      <c r="R96" s="119"/>
      <c r="S96" s="119"/>
      <c r="T96" s="119"/>
      <c r="U96" s="119"/>
    </row>
    <row r="97" spans="6:21" ht="15">
      <c r="F97" s="23">
        <f>IF($N$87&gt;=8,E8,"")</f>
        <v>0.2</v>
      </c>
      <c r="G97" s="149">
        <f t="shared" si="24"/>
        <v>0.2</v>
      </c>
      <c r="O97" s="119"/>
      <c r="P97" s="119"/>
      <c r="Q97" s="119"/>
      <c r="R97" s="119"/>
      <c r="S97" s="119"/>
      <c r="T97" s="119"/>
      <c r="U97" s="119"/>
    </row>
    <row r="98" spans="6:21" ht="15">
      <c r="F98" s="23">
        <f>IF($N$87&gt;=9,E9,"")</f>
        <v>0.3</v>
      </c>
      <c r="G98" s="149">
        <f t="shared" si="24"/>
        <v>0.3</v>
      </c>
      <c r="O98" s="119"/>
      <c r="P98" s="119"/>
      <c r="Q98" s="119"/>
      <c r="R98" s="119"/>
      <c r="S98" s="119"/>
      <c r="T98" s="119"/>
      <c r="U98" s="119"/>
    </row>
    <row r="99" spans="6:21" ht="15">
      <c r="F99" s="23">
        <f>IF($N$87&gt;=10,E10,"")</f>
        <v>0.4</v>
      </c>
      <c r="G99" s="149">
        <f t="shared" si="24"/>
        <v>0.4</v>
      </c>
      <c r="O99" s="119"/>
      <c r="P99" s="119"/>
      <c r="Q99" s="119"/>
      <c r="R99" s="119"/>
      <c r="S99" s="119"/>
      <c r="T99" s="119"/>
      <c r="U99" s="119"/>
    </row>
    <row r="100" spans="6:21" ht="15">
      <c r="F100" s="23">
        <f>IF($N$87&gt;=11,E11,"")</f>
        <v>0.5</v>
      </c>
      <c r="G100" s="149">
        <f t="shared" si="24"/>
        <v>0.5</v>
      </c>
      <c r="O100" s="119"/>
      <c r="P100" s="119"/>
      <c r="Q100" s="119"/>
      <c r="R100" s="119"/>
      <c r="S100" s="119"/>
      <c r="T100" s="119"/>
      <c r="U100" s="119"/>
    </row>
    <row r="101" spans="6:21" ht="15">
      <c r="F101" s="23">
        <f>IF($N$87&gt;=12,E12,"")</f>
        <v>0.6</v>
      </c>
      <c r="G101" s="149">
        <f t="shared" si="24"/>
        <v>0.6</v>
      </c>
      <c r="O101" s="119"/>
      <c r="P101" s="119"/>
      <c r="Q101" s="119"/>
      <c r="R101" s="119"/>
      <c r="S101" s="119"/>
      <c r="T101" s="119"/>
      <c r="U101" s="119"/>
    </row>
    <row r="102" spans="6:21" ht="15">
      <c r="F102" s="23">
        <f>IF($N$87&gt;=13,E13,"")</f>
        <v>0.7</v>
      </c>
      <c r="G102" s="149">
        <f t="shared" si="24"/>
        <v>0.7</v>
      </c>
      <c r="O102" s="119"/>
      <c r="P102" s="119"/>
      <c r="Q102" s="119"/>
      <c r="R102" s="119"/>
      <c r="S102" s="119"/>
      <c r="T102" s="119"/>
      <c r="U102" s="119"/>
    </row>
    <row r="103" spans="6:7" ht="15">
      <c r="F103" s="23">
        <f>IF($N$87&gt;=14,E14,"")</f>
        <v>0.8</v>
      </c>
      <c r="G103" s="149">
        <f t="shared" si="24"/>
        <v>0.8</v>
      </c>
    </row>
    <row r="104" spans="6:7" ht="15">
      <c r="F104" s="23">
        <f>IF($N$87&gt;=15,E15,"")</f>
        <v>0.9</v>
      </c>
      <c r="G104" s="149">
        <f t="shared" si="24"/>
        <v>0.9</v>
      </c>
    </row>
    <row r="105" spans="6:7" ht="15">
      <c r="F105" s="23">
        <f>IF($N$87&gt;=16,E16,"")</f>
        <v>1</v>
      </c>
      <c r="G105" s="149">
        <f t="shared" si="24"/>
        <v>1</v>
      </c>
    </row>
    <row r="106" spans="6:7" ht="15">
      <c r="F106" s="23">
        <f>IF($N$87&gt;=17,E17,"")</f>
        <v>1.1</v>
      </c>
      <c r="G106" s="149">
        <f t="shared" si="24"/>
        <v>1.1</v>
      </c>
    </row>
    <row r="107" spans="6:7" ht="15">
      <c r="F107" s="23">
        <f>IF($N$87&gt;=18,E18,"")</f>
        <v>1.2</v>
      </c>
      <c r="G107" s="149">
        <f t="shared" si="24"/>
        <v>1.2</v>
      </c>
    </row>
    <row r="108" spans="6:7" ht="15">
      <c r="F108" s="23">
        <f>IF($N$87&gt;=19,E19,"")</f>
        <v>1.3</v>
      </c>
      <c r="G108" s="149">
        <f t="shared" si="24"/>
        <v>1.3</v>
      </c>
    </row>
    <row r="109" spans="6:7" ht="15">
      <c r="F109" s="23">
        <f>IF($N$87&gt;=20,E20,"")</f>
        <v>1.4</v>
      </c>
      <c r="G109" s="149">
        <f t="shared" si="24"/>
        <v>1.4</v>
      </c>
    </row>
    <row r="110" spans="6:7" ht="15">
      <c r="F110" s="23">
        <f>IF($N$87&gt;=21,E21,"")</f>
        <v>1.5</v>
      </c>
      <c r="G110" s="149">
        <f t="shared" si="24"/>
        <v>1.5</v>
      </c>
    </row>
    <row r="111" spans="6:7" ht="15">
      <c r="F111" s="23">
        <f>IF($N$87&gt;=22,E22,"")</f>
        <v>1.6</v>
      </c>
      <c r="G111" s="149">
        <f t="shared" si="24"/>
        <v>1.6</v>
      </c>
    </row>
    <row r="112" spans="6:7" ht="15">
      <c r="F112" s="23">
        <f>IF($N$87&gt;=23,E23,"")</f>
        <v>1.7</v>
      </c>
      <c r="G112" s="149">
        <f t="shared" si="24"/>
        <v>1.7</v>
      </c>
    </row>
    <row r="113" spans="6:7" ht="15">
      <c r="F113" s="23">
        <f>IF($N$87&gt;=24,E24,"")</f>
        <v>1.8</v>
      </c>
      <c r="G113" s="149">
        <f t="shared" si="24"/>
        <v>1.8</v>
      </c>
    </row>
    <row r="114" spans="6:7" ht="15">
      <c r="F114" s="23">
        <f>IF($N$87&gt;=25,E25,"")</f>
        <v>1.9</v>
      </c>
      <c r="G114" s="149">
        <f t="shared" si="24"/>
        <v>1.9</v>
      </c>
    </row>
    <row r="115" spans="6:7" ht="15">
      <c r="F115" s="23">
        <f>IF($N$87&gt;=26,E26,"")</f>
        <v>2</v>
      </c>
      <c r="G115" s="149">
        <f t="shared" si="24"/>
        <v>2</v>
      </c>
    </row>
    <row r="116" spans="6:7" ht="15">
      <c r="F116" s="23">
        <f>IF($N$87&gt;=27,E27,"")</f>
        <v>2.1</v>
      </c>
      <c r="G116" s="149">
        <f t="shared" si="24"/>
        <v>2.1</v>
      </c>
    </row>
    <row r="117" spans="6:7" ht="15">
      <c r="F117" s="23">
        <f>IF($N$87&gt;=28,E28,"")</f>
        <v>2.2</v>
      </c>
      <c r="G117" s="149">
        <f t="shared" si="24"/>
        <v>2.2</v>
      </c>
    </row>
    <row r="118" spans="6:7" ht="15">
      <c r="F118" s="23">
        <f>IF($N$87&gt;=29,E29,"")</f>
        <v>2.3</v>
      </c>
      <c r="G118" s="149">
        <f t="shared" si="24"/>
        <v>2.3</v>
      </c>
    </row>
    <row r="119" spans="6:7" ht="15">
      <c r="F119" s="23">
        <f>IF($N$87&gt;=30,E30,"")</f>
        <v>2.4</v>
      </c>
      <c r="G119" s="149">
        <f t="shared" si="24"/>
        <v>2.4</v>
      </c>
    </row>
    <row r="120" spans="6:7" ht="15">
      <c r="F120" s="23">
        <f>IF($N$87&gt;=31,E31,"")</f>
        <v>2.5</v>
      </c>
      <c r="G120" s="149">
        <f t="shared" si="24"/>
        <v>2.5</v>
      </c>
    </row>
    <row r="121" spans="6:7" ht="15">
      <c r="F121" s="23">
        <f>IF($N$87&gt;=32,E32,"")</f>
        <v>2.6</v>
      </c>
      <c r="G121" s="149">
        <f t="shared" si="24"/>
        <v>2.6</v>
      </c>
    </row>
    <row r="122" spans="6:7" ht="15">
      <c r="F122" s="23">
        <f>IF($N$87&gt;=33,E33,"")</f>
        <v>2.7</v>
      </c>
      <c r="G122" s="149">
        <f t="shared" si="24"/>
        <v>2.7</v>
      </c>
    </row>
    <row r="123" spans="6:7" ht="15">
      <c r="F123" s="23">
        <f>IF($N$87&gt;=34,E34,"")</f>
        <v>2.8</v>
      </c>
      <c r="G123" s="149">
        <f t="shared" si="24"/>
        <v>2.8</v>
      </c>
    </row>
    <row r="124" spans="6:7" ht="15">
      <c r="F124" s="23">
        <f>IF($N$87&gt;=35,E35,"")</f>
        <v>2.9</v>
      </c>
      <c r="G124" s="149">
        <f t="shared" si="24"/>
        <v>2.9</v>
      </c>
    </row>
    <row r="125" spans="6:7" ht="15">
      <c r="F125" s="23">
        <f>IF($N$87&gt;=36,E36,"")</f>
        <v>3</v>
      </c>
      <c r="G125" s="149">
        <f t="shared" si="24"/>
        <v>3</v>
      </c>
    </row>
    <row r="126" spans="6:7" ht="15">
      <c r="F126" s="23">
        <f>IF($N$87&gt;=37,E37,"")</f>
        <v>3.1</v>
      </c>
      <c r="G126" s="149">
        <f t="shared" si="24"/>
        <v>3.1</v>
      </c>
    </row>
    <row r="127" spans="6:7" ht="15">
      <c r="F127" s="23">
        <f>IF($N$87&gt;=38,E38,"")</f>
        <v>3.2</v>
      </c>
      <c r="G127" s="149">
        <f t="shared" si="24"/>
        <v>3.2</v>
      </c>
    </row>
    <row r="128" spans="6:7" ht="15">
      <c r="F128" s="23">
        <f>IF($N$87&gt;=39,E39,"")</f>
        <v>3.3</v>
      </c>
      <c r="G128" s="149">
        <f t="shared" si="24"/>
        <v>3.3</v>
      </c>
    </row>
    <row r="129" spans="6:7" ht="15">
      <c r="F129" s="23">
        <f>IF($N$87&gt;=40,E40,"")</f>
        <v>3.4</v>
      </c>
      <c r="G129" s="149">
        <f t="shared" si="24"/>
        <v>3.4</v>
      </c>
    </row>
    <row r="130" spans="6:7" ht="15">
      <c r="F130" s="23">
        <f>IF($N$87&gt;=41,E41,"")</f>
        <v>3.5</v>
      </c>
      <c r="G130" s="149">
        <f t="shared" si="24"/>
        <v>3.5</v>
      </c>
    </row>
    <row r="131" spans="6:7" ht="15">
      <c r="F131" s="23">
        <f>IF($N$87&gt;=42,E42,"")</f>
        <v>3.6</v>
      </c>
      <c r="G131" s="149">
        <f t="shared" si="24"/>
        <v>3.6</v>
      </c>
    </row>
    <row r="132" spans="6:7" ht="15">
      <c r="F132" s="23">
        <f>IF($N$87&gt;=43,E43,"")</f>
        <v>3.7</v>
      </c>
      <c r="G132" s="149">
        <f t="shared" si="24"/>
        <v>3.7</v>
      </c>
    </row>
    <row r="133" spans="6:7" ht="15">
      <c r="F133" s="23">
        <f>IF($N$87&gt;=44,E44,"")</f>
        <v>3.8</v>
      </c>
      <c r="G133" s="149">
        <f t="shared" si="24"/>
        <v>3.8</v>
      </c>
    </row>
    <row r="134" spans="6:7" ht="15">
      <c r="F134" s="23">
        <f>IF($N$87&gt;=45,E45,"")</f>
        <v>3.9</v>
      </c>
      <c r="G134" s="149">
        <f t="shared" si="24"/>
        <v>3.9</v>
      </c>
    </row>
    <row r="135" spans="6:7" ht="15">
      <c r="F135" s="23">
        <f>IF($N$87&gt;=46,E46,"")</f>
        <v>4</v>
      </c>
      <c r="G135" s="149">
        <f t="shared" si="24"/>
        <v>4</v>
      </c>
    </row>
    <row r="136" spans="6:7" ht="15">
      <c r="F136" s="23">
        <f>IF($N$87&gt;=47,E47,"")</f>
        <v>4.1</v>
      </c>
      <c r="G136" s="149">
        <f t="shared" si="24"/>
        <v>4.1</v>
      </c>
    </row>
    <row r="137" spans="6:7" ht="15">
      <c r="F137" s="23">
        <f>IF($N$87&gt;=48,E48,"")</f>
        <v>4.2</v>
      </c>
      <c r="G137" s="149">
        <f t="shared" si="24"/>
        <v>4.2</v>
      </c>
    </row>
    <row r="138" spans="6:7" ht="15">
      <c r="F138" s="23">
        <f>IF($N$87&gt;=49,E49,"")</f>
        <v>4.3</v>
      </c>
      <c r="G138" s="149">
        <f t="shared" si="24"/>
        <v>4.3</v>
      </c>
    </row>
    <row r="139" spans="6:7" ht="15">
      <c r="F139" s="23">
        <f>IF($N$87&gt;=50,E50,"")</f>
        <v>4.4</v>
      </c>
      <c r="G139" s="149">
        <f t="shared" si="24"/>
        <v>4.4</v>
      </c>
    </row>
    <row r="140" spans="6:7" ht="15">
      <c r="F140" s="23">
        <f>IF($N$87&gt;=51,E51,"")</f>
        <v>4.5</v>
      </c>
      <c r="G140" s="149">
        <f t="shared" si="24"/>
        <v>4.5</v>
      </c>
    </row>
    <row r="141" spans="6:7" ht="15">
      <c r="F141" s="23">
        <f>IF($N$87&gt;=52,E52,"")</f>
        <v>4.6</v>
      </c>
      <c r="G141" s="149">
        <f t="shared" si="24"/>
        <v>4.6</v>
      </c>
    </row>
    <row r="142" spans="6:7" ht="15">
      <c r="F142" s="23">
        <f>IF($N$87&gt;=53,E53,"")</f>
        <v>4.7</v>
      </c>
      <c r="G142" s="149">
        <f t="shared" si="24"/>
        <v>4.7</v>
      </c>
    </row>
    <row r="143" spans="6:7" ht="15">
      <c r="F143" s="23">
        <f>IF($N$87&gt;=54,E54,"")</f>
        <v>4.8</v>
      </c>
      <c r="G143" s="149">
        <f t="shared" si="24"/>
        <v>4.8</v>
      </c>
    </row>
    <row r="144" spans="6:7" ht="15">
      <c r="F144" s="23">
        <f>IF($N$87&gt;=55,E55,"")</f>
        <v>4.9</v>
      </c>
      <c r="G144" s="149">
        <f t="shared" si="24"/>
        <v>4.9</v>
      </c>
    </row>
    <row r="145" spans="6:7" ht="15">
      <c r="F145" s="23">
        <f>IF($N$87&gt;=56,E56,"")</f>
        <v>5</v>
      </c>
      <c r="G145" s="149">
        <f t="shared" si="24"/>
        <v>5</v>
      </c>
    </row>
    <row r="146" spans="6:7" ht="15">
      <c r="F146" s="23">
        <f>IF($N$87&gt;=57,E57,"")</f>
        <v>5.1</v>
      </c>
      <c r="G146" s="149">
        <f t="shared" si="24"/>
        <v>5.1</v>
      </c>
    </row>
    <row r="147" spans="6:7" ht="15">
      <c r="F147" s="23">
        <f>IF($N$87&gt;=58,E58,"")</f>
        <v>5.2</v>
      </c>
      <c r="G147" s="149">
        <f t="shared" si="24"/>
        <v>5.2</v>
      </c>
    </row>
    <row r="148" spans="6:7" ht="15">
      <c r="F148" s="23">
        <f>IF($N$87&gt;=59,E59,"")</f>
        <v>5.3</v>
      </c>
      <c r="G148" s="149">
        <f t="shared" si="24"/>
        <v>5.3</v>
      </c>
    </row>
    <row r="149" spans="6:7" ht="15">
      <c r="F149" s="23">
        <f>IF($N$87&gt;=60,E60,"")</f>
        <v>5.4</v>
      </c>
      <c r="G149" s="149">
        <f t="shared" si="24"/>
        <v>5.4</v>
      </c>
    </row>
    <row r="150" spans="6:7" ht="15">
      <c r="F150" s="23">
        <f>IF($N$87&gt;=61,E61,"")</f>
        <v>5.5</v>
      </c>
      <c r="G150" s="149">
        <f t="shared" si="24"/>
        <v>5.5</v>
      </c>
    </row>
    <row r="151" spans="6:7" ht="15">
      <c r="F151" s="23">
        <f>IF($N$87&gt;=62,E62,"")</f>
        <v>5.6</v>
      </c>
      <c r="G151" s="149">
        <f t="shared" si="24"/>
        <v>5.6</v>
      </c>
    </row>
    <row r="152" spans="6:7" ht="15">
      <c r="F152" s="23">
        <f>IF($N$87&gt;=63,E63,"")</f>
        <v>5.7</v>
      </c>
      <c r="G152" s="149">
        <f t="shared" si="24"/>
        <v>5.7</v>
      </c>
    </row>
    <row r="153" spans="6:7" ht="15">
      <c r="F153" s="23">
        <f>IF($N$87&gt;=64,E64,"")</f>
        <v>5.8</v>
      </c>
      <c r="G153" s="149">
        <f t="shared" si="24"/>
        <v>5.8</v>
      </c>
    </row>
    <row r="154" spans="6:7" ht="15">
      <c r="F154" s="23">
        <f>IF($N$87&gt;=65,E65,"")</f>
        <v>5.9</v>
      </c>
      <c r="G154" s="149">
        <f t="shared" si="24"/>
        <v>5.9</v>
      </c>
    </row>
    <row r="155" spans="6:7" ht="15">
      <c r="F155" s="23">
        <f>IF($N$87&gt;=66,E66,"")</f>
        <v>6</v>
      </c>
      <c r="G155" s="149">
        <f t="shared" si="24"/>
        <v>6</v>
      </c>
    </row>
    <row r="156" spans="6:7" ht="15">
      <c r="F156" s="23">
        <f>IF($N$87&gt;=67,E67,"")</f>
        <v>6.1</v>
      </c>
      <c r="G156" s="149">
        <f t="shared" si="24"/>
        <v>6.1</v>
      </c>
    </row>
    <row r="157" spans="6:7" ht="15">
      <c r="F157" s="23">
        <f>IF($N$87&gt;=68,E68,"")</f>
        <v>6.2</v>
      </c>
      <c r="G157" s="149">
        <f t="shared" si="24"/>
        <v>6.2</v>
      </c>
    </row>
    <row r="158" spans="6:7" ht="15">
      <c r="F158" s="23">
        <f>IF($N$87&gt;=69,E69,"")</f>
        <v>6.3</v>
      </c>
      <c r="G158" s="149">
        <f t="shared" si="24"/>
        <v>6.3</v>
      </c>
    </row>
    <row r="159" spans="6:7" ht="15">
      <c r="F159" s="23">
        <f>IF($N$87&gt;=70,E70,"")</f>
        <v>6.4</v>
      </c>
      <c r="G159" s="149">
        <f t="shared" si="24"/>
        <v>6.4</v>
      </c>
    </row>
    <row r="160" spans="6:7" ht="15">
      <c r="F160" s="23">
        <f>IF($N$87&gt;=71,E71,"")</f>
        <v>6.5</v>
      </c>
      <c r="G160" s="149">
        <f aca="true" t="shared" si="25" ref="G160:G175">IF(F160="",#N/A,F160)</f>
        <v>6.5</v>
      </c>
    </row>
    <row r="161" spans="6:7" ht="15">
      <c r="F161" s="23">
        <f>IF($N$87&gt;=72,E72,"")</f>
        <v>6.6</v>
      </c>
      <c r="G161" s="149">
        <f t="shared" si="25"/>
        <v>6.6</v>
      </c>
    </row>
    <row r="162" spans="6:7" ht="15">
      <c r="F162" s="23">
        <f>IF($N$87&gt;=73,E73,"")</f>
        <v>6.7</v>
      </c>
      <c r="G162" s="149">
        <f t="shared" si="25"/>
        <v>6.7</v>
      </c>
    </row>
    <row r="163" spans="6:7" ht="15">
      <c r="F163" s="23">
        <f>IF($N$87&gt;=74,E74,"")</f>
        <v>6.8</v>
      </c>
      <c r="G163" s="149">
        <f t="shared" si="25"/>
        <v>6.8</v>
      </c>
    </row>
    <row r="164" spans="6:7" ht="15">
      <c r="F164" s="23">
        <f>IF($N$87&gt;=75,E75,"")</f>
        <v>6.9</v>
      </c>
      <c r="G164" s="149">
        <f>IF(F164="",#N/A,F164)</f>
        <v>6.9</v>
      </c>
    </row>
    <row r="165" spans="6:7" ht="15">
      <c r="F165" s="23">
        <f>IF($N$87&gt;=76,E76,"")</f>
        <v>7</v>
      </c>
      <c r="G165" s="149">
        <f t="shared" si="25"/>
        <v>7</v>
      </c>
    </row>
    <row r="166" spans="6:7" ht="15">
      <c r="F166" s="23">
        <f>IF($N$87&gt;=77,E77,"")</f>
        <v>7.1</v>
      </c>
      <c r="G166" s="149">
        <f t="shared" si="25"/>
        <v>7.1</v>
      </c>
    </row>
    <row r="167" spans="6:7" ht="15">
      <c r="F167" s="23">
        <f>IF($N$87&gt;=78,E78,"")</f>
        <v>7.2</v>
      </c>
      <c r="G167" s="149">
        <f t="shared" si="25"/>
        <v>7.2</v>
      </c>
    </row>
    <row r="168" spans="6:7" ht="15">
      <c r="F168" s="23">
        <f>IF($N$87&gt;=79,E79,"")</f>
        <v>7.3</v>
      </c>
      <c r="G168" s="149">
        <f t="shared" si="25"/>
        <v>7.3</v>
      </c>
    </row>
    <row r="169" spans="6:7" ht="15">
      <c r="F169" s="23">
        <f>IF($N$87&gt;=80,E80,"")</f>
        <v>7.4</v>
      </c>
      <c r="G169" s="149">
        <f t="shared" si="25"/>
        <v>7.4</v>
      </c>
    </row>
    <row r="170" spans="6:7" ht="15">
      <c r="F170" s="23">
        <f>IF($N$87&gt;=81,E81,"")</f>
        <v>7.5</v>
      </c>
      <c r="G170" s="149">
        <f t="shared" si="25"/>
        <v>7.5</v>
      </c>
    </row>
    <row r="171" spans="6:7" ht="15">
      <c r="F171" s="23">
        <f>IF($N$87&gt;=82,E82,"")</f>
        <v>7.6</v>
      </c>
      <c r="G171" s="149">
        <f t="shared" si="25"/>
        <v>7.6</v>
      </c>
    </row>
    <row r="172" spans="6:7" ht="15">
      <c r="F172" s="23">
        <f>IF($N$87&gt;=83,E83,"")</f>
        <v>7.7</v>
      </c>
      <c r="G172" s="149">
        <f t="shared" si="25"/>
        <v>7.7</v>
      </c>
    </row>
    <row r="173" spans="6:7" ht="15">
      <c r="F173" s="23">
        <f>IF($N$87&gt;=84,E84,"")</f>
        <v>7.8</v>
      </c>
      <c r="G173" s="149">
        <f t="shared" si="25"/>
        <v>7.8</v>
      </c>
    </row>
    <row r="174" spans="6:7" ht="15">
      <c r="F174" s="23">
        <f>IF($N$87&gt;=85,E85,"")</f>
        <v>7.9</v>
      </c>
      <c r="G174" s="149">
        <f t="shared" si="25"/>
        <v>7.9</v>
      </c>
    </row>
    <row r="175" spans="6:7" ht="15" thickBot="1">
      <c r="F175" s="29">
        <f>IF($N$87&gt;=86,E86,"")</f>
        <v>8</v>
      </c>
      <c r="G175" s="148">
        <f t="shared" si="25"/>
        <v>8</v>
      </c>
    </row>
  </sheetData>
  <sheetProtection/>
  <dataValidations count="1">
    <dataValidation type="decimal" allowBlank="1" showInputMessage="1" showErrorMessage="1" sqref="G6:G86">
      <formula1>0</formula1>
      <formula2>260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fitToHeight="2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St.Gallen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Erich Peter</dc:creator>
  <cp:keywords/>
  <dc:description/>
  <cp:lastModifiedBy>User</cp:lastModifiedBy>
  <cp:lastPrinted>2006-09-26T10:09:45Z</cp:lastPrinted>
  <dcterms:created xsi:type="dcterms:W3CDTF">2000-03-09T13:37:27Z</dcterms:created>
  <dcterms:modified xsi:type="dcterms:W3CDTF">2015-02-18T03:03:01Z</dcterms:modified>
  <cp:category/>
  <cp:version/>
  <cp:contentType/>
  <cp:contentStatus/>
</cp:coreProperties>
</file>